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09"/>
  <workbookPr codeName="ThisWorkbook" defaultThemeVersion="124226"/>
  <mc:AlternateContent xmlns:mc="http://schemas.openxmlformats.org/markup-compatibility/2006">
    <mc:Choice Requires="x15">
      <x15ac:absPath xmlns:x15ac="http://schemas.microsoft.com/office/spreadsheetml/2010/11/ac" url="/Users/kevindowd/Desktop/EUMAEUS Guide to NNEG Valuation/! Key s:sheets/"/>
    </mc:Choice>
  </mc:AlternateContent>
  <xr:revisionPtr revIDLastSave="0" documentId="13_ncr:1_{DADEB0D7-D558-474F-B7EB-4FAAB619E975}" xr6:coauthVersionLast="43" xr6:coauthVersionMax="43" xr10:uidLastSave="{00000000-0000-0000-0000-000000000000}"/>
  <bookViews>
    <workbookView xWindow="2840" yWindow="820" windowWidth="35560" windowHeight="20480" activeTab="2" xr2:uid="{00000000-000D-0000-FFFF-FFFF00000000}"/>
  </bookViews>
  <sheets>
    <sheet name="Chart" sheetId="5" r:id="rId1"/>
    <sheet name="Chart2" sheetId="8" r:id="rId2"/>
    <sheet name="ERM value" sheetId="2" r:id="rId3"/>
    <sheet name="Explanation" sheetId="3" r:id="rId4"/>
  </sheets>
  <definedNames>
    <definedName name="Average_value">'ERM value'!$B$6</definedName>
    <definedName name="Debt_value">'ERM value'!$E$8</definedName>
    <definedName name="dilap">'ERM value'!$B$18</definedName>
    <definedName name="Face">'ERM value'!$B$8</definedName>
    <definedName name="H">'ERM value'!$B$20</definedName>
    <definedName name="Hstress">'ERM value'!$B$21</definedName>
    <definedName name="IRRx">'ERM value'!$B$14</definedName>
    <definedName name="L">'ERM value'!$B$12</definedName>
    <definedName name="LTV">'ERM value'!$B$11</definedName>
    <definedName name="MA">'ERM value'!$B$17</definedName>
    <definedName name="Properties">'ERM value'!$B$5</definedName>
    <definedName name="q">'ERM value'!$B$10</definedName>
    <definedName name="r_" localSheetId="2">'ERM value'!$B$9</definedName>
    <definedName name="Stress">'ERM value'!$B$19</definedName>
    <definedName name="V" localSheetId="2">'ERM value'!$B$13</definedName>
    <definedName name="xs">'ERM value'!$B$16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2" l="1"/>
  <c r="E16" i="2" l="1"/>
  <c r="E17" i="2" s="1"/>
  <c r="C23" i="2" l="1"/>
  <c r="B19" i="2"/>
  <c r="C19" i="2"/>
  <c r="AA22" i="2"/>
  <c r="B8" i="2"/>
  <c r="B7" i="2" s="1"/>
  <c r="E9" i="2"/>
  <c r="A23" i="2"/>
  <c r="V22" i="2"/>
  <c r="F7" i="2" s="1"/>
  <c r="V24" i="2"/>
  <c r="AG24" i="2" s="1"/>
  <c r="V25" i="2"/>
  <c r="AG25" i="2" s="1"/>
  <c r="V26" i="2"/>
  <c r="AG26" i="2" s="1"/>
  <c r="V27" i="2"/>
  <c r="AG27" i="2" s="1"/>
  <c r="V28" i="2"/>
  <c r="AG28" i="2" s="1"/>
  <c r="V29" i="2"/>
  <c r="AG29" i="2" s="1"/>
  <c r="V30" i="2"/>
  <c r="AG30" i="2" s="1"/>
  <c r="V31" i="2"/>
  <c r="AG31" i="2" s="1"/>
  <c r="V32" i="2"/>
  <c r="AG32" i="2" s="1"/>
  <c r="V33" i="2"/>
  <c r="AG33" i="2" s="1"/>
  <c r="V34" i="2"/>
  <c r="AG34" i="2" s="1"/>
  <c r="V35" i="2"/>
  <c r="AG35" i="2" s="1"/>
  <c r="V36" i="2"/>
  <c r="AG36" i="2" s="1"/>
  <c r="V37" i="2"/>
  <c r="AG37" i="2" s="1"/>
  <c r="V38" i="2"/>
  <c r="AG38" i="2" s="1"/>
  <c r="V39" i="2"/>
  <c r="AG39" i="2" s="1"/>
  <c r="V40" i="2"/>
  <c r="AG40" i="2" s="1"/>
  <c r="V41" i="2"/>
  <c r="AG41" i="2" s="1"/>
  <c r="V42" i="2"/>
  <c r="AG42" i="2" s="1"/>
  <c r="V43" i="2"/>
  <c r="AG43" i="2" s="1"/>
  <c r="V44" i="2"/>
  <c r="AG44" i="2" s="1"/>
  <c r="V45" i="2"/>
  <c r="AG45" i="2" s="1"/>
  <c r="V46" i="2"/>
  <c r="AG46" i="2" s="1"/>
  <c r="V47" i="2"/>
  <c r="AG47" i="2" s="1"/>
  <c r="V48" i="2"/>
  <c r="AG48" i="2" s="1"/>
  <c r="V49" i="2"/>
  <c r="AG49" i="2" s="1"/>
  <c r="V50" i="2"/>
  <c r="AG50" i="2" s="1"/>
  <c r="V51" i="2"/>
  <c r="AG51" i="2" s="1"/>
  <c r="V52" i="2"/>
  <c r="AG52" i="2" s="1"/>
  <c r="V53" i="2"/>
  <c r="AG53" i="2" s="1"/>
  <c r="V54" i="2"/>
  <c r="AG54" i="2" s="1"/>
  <c r="V55" i="2"/>
  <c r="AG55" i="2" s="1"/>
  <c r="V56" i="2"/>
  <c r="AG56" i="2" s="1"/>
  <c r="V57" i="2"/>
  <c r="AG57" i="2" s="1"/>
  <c r="V58" i="2"/>
  <c r="AG58" i="2" s="1"/>
  <c r="V59" i="2"/>
  <c r="AG59" i="2" s="1"/>
  <c r="V60" i="2"/>
  <c r="AG60" i="2" s="1"/>
  <c r="V61" i="2"/>
  <c r="AG61" i="2" s="1"/>
  <c r="V62" i="2"/>
  <c r="AG62" i="2" s="1"/>
  <c r="V23" i="2"/>
  <c r="AG23" i="2" s="1"/>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23" i="2"/>
  <c r="B23" i="2" l="1"/>
  <c r="D23" i="2" s="1"/>
  <c r="E23" i="2" s="1"/>
  <c r="AK23" i="2" s="1"/>
  <c r="AL23" i="2" s="1"/>
  <c r="J23" i="2"/>
  <c r="F23" i="2"/>
  <c r="A24" i="2"/>
  <c r="B24" i="2" s="1"/>
  <c r="D24" i="2" s="1"/>
  <c r="E24" i="2" s="1"/>
  <c r="AK24" i="2" s="1"/>
  <c r="AL24" i="2" s="1"/>
  <c r="G23" i="2" l="1"/>
  <c r="AH23" i="2" s="1"/>
  <c r="AI23" i="2" s="1"/>
  <c r="F24" i="2"/>
  <c r="C24" i="2"/>
  <c r="J24" i="2"/>
  <c r="L23" i="2"/>
  <c r="Y23" i="2" s="1"/>
  <c r="AD23" i="2" s="1"/>
  <c r="A25" i="2"/>
  <c r="AM23" i="2" l="1"/>
  <c r="H23" i="2"/>
  <c r="K23" i="2" s="1"/>
  <c r="X23" i="2" s="1"/>
  <c r="AC23" i="2" s="1"/>
  <c r="G24" i="2"/>
  <c r="AH24" i="2" s="1"/>
  <c r="AI24" i="2" s="1"/>
  <c r="AM24" i="2" s="1"/>
  <c r="F25" i="2"/>
  <c r="C25" i="2"/>
  <c r="B25" i="2"/>
  <c r="D25" i="2" s="1"/>
  <c r="E25" i="2" s="1"/>
  <c r="AK25" i="2" s="1"/>
  <c r="AL25" i="2" s="1"/>
  <c r="J25" i="2"/>
  <c r="A26" i="2"/>
  <c r="L24" i="2"/>
  <c r="Y24" i="2" s="1"/>
  <c r="AD24" i="2" s="1"/>
  <c r="G25" i="2" l="1"/>
  <c r="AH25" i="2" s="1"/>
  <c r="AI25" i="2" s="1"/>
  <c r="H24" i="2"/>
  <c r="K24" i="2" s="1"/>
  <c r="M24" i="2" s="1"/>
  <c r="N24" i="2" s="1"/>
  <c r="F26" i="2"/>
  <c r="C26" i="2"/>
  <c r="B26" i="2"/>
  <c r="D26" i="2" s="1"/>
  <c r="E26" i="2" s="1"/>
  <c r="AK26" i="2" s="1"/>
  <c r="AL26" i="2" s="1"/>
  <c r="M23" i="2"/>
  <c r="N23" i="2" s="1"/>
  <c r="A27" i="2"/>
  <c r="L25" i="2"/>
  <c r="Y25" i="2" s="1"/>
  <c r="AD25" i="2" s="1"/>
  <c r="J26" i="2"/>
  <c r="AM25" i="2" l="1"/>
  <c r="G26" i="2"/>
  <c r="AH26" i="2" s="1"/>
  <c r="AI26" i="2" s="1"/>
  <c r="H25" i="2"/>
  <c r="K25" i="2" s="1"/>
  <c r="M25" i="2" s="1"/>
  <c r="N25" i="2" s="1"/>
  <c r="F27" i="2"/>
  <c r="C27" i="2"/>
  <c r="B27" i="2"/>
  <c r="D27" i="2" s="1"/>
  <c r="E27" i="2" s="1"/>
  <c r="AK27" i="2" s="1"/>
  <c r="AL27" i="2" s="1"/>
  <c r="Z23" i="2"/>
  <c r="AE23" i="2" s="1"/>
  <c r="X24" i="2"/>
  <c r="AC24" i="2" s="1"/>
  <c r="A28" i="2"/>
  <c r="J27" i="2"/>
  <c r="Z24" i="2"/>
  <c r="AE24" i="2" s="1"/>
  <c r="L26" i="2"/>
  <c r="AM26" i="2" l="1"/>
  <c r="G27" i="2"/>
  <c r="AH27" i="2" s="1"/>
  <c r="AI27" i="2" s="1"/>
  <c r="H26" i="2"/>
  <c r="K26" i="2" s="1"/>
  <c r="X26" i="2" s="1"/>
  <c r="AC26" i="2" s="1"/>
  <c r="AA24" i="2"/>
  <c r="AA23" i="2"/>
  <c r="F28" i="2"/>
  <c r="C28" i="2"/>
  <c r="B28" i="2"/>
  <c r="D28" i="2" s="1"/>
  <c r="E28" i="2" s="1"/>
  <c r="AK28" i="2" s="1"/>
  <c r="AL28" i="2" s="1"/>
  <c r="Z25" i="2"/>
  <c r="AE25" i="2" s="1"/>
  <c r="X25" i="2"/>
  <c r="AC25" i="2" s="1"/>
  <c r="L27" i="2"/>
  <c r="Y27" i="2" s="1"/>
  <c r="AD27" i="2" s="1"/>
  <c r="A29" i="2"/>
  <c r="J28" i="2"/>
  <c r="Y26" i="2"/>
  <c r="AD26" i="2" s="1"/>
  <c r="AM27" i="2" l="1"/>
  <c r="G28" i="2"/>
  <c r="AH28" i="2" s="1"/>
  <c r="AI28" i="2" s="1"/>
  <c r="H27" i="2"/>
  <c r="K27" i="2" s="1"/>
  <c r="X27" i="2" s="1"/>
  <c r="AC27" i="2" s="1"/>
  <c r="AA25" i="2"/>
  <c r="F29" i="2"/>
  <c r="C29" i="2"/>
  <c r="B29" i="2"/>
  <c r="D29" i="2" s="1"/>
  <c r="E29" i="2" s="1"/>
  <c r="AK29" i="2" s="1"/>
  <c r="AL29" i="2" s="1"/>
  <c r="J29" i="2"/>
  <c r="M26" i="2"/>
  <c r="N26" i="2" s="1"/>
  <c r="A30" i="2"/>
  <c r="J30" i="2" s="1"/>
  <c r="L28" i="2"/>
  <c r="Y28" i="2" s="1"/>
  <c r="AD28" i="2" s="1"/>
  <c r="AM28" i="2" l="1"/>
  <c r="G29" i="2"/>
  <c r="AH29" i="2" s="1"/>
  <c r="AI29" i="2" s="1"/>
  <c r="H28" i="2"/>
  <c r="K28" i="2" s="1"/>
  <c r="X28" i="2" s="1"/>
  <c r="AC28" i="2" s="1"/>
  <c r="L29" i="2"/>
  <c r="Y29" i="2" s="1"/>
  <c r="AD29" i="2" s="1"/>
  <c r="A31" i="2"/>
  <c r="F31" i="2" s="1"/>
  <c r="F30" i="2"/>
  <c r="L30" i="2" s="1"/>
  <c r="C30" i="2"/>
  <c r="B30" i="2"/>
  <c r="D30" i="2" s="1"/>
  <c r="E30" i="2" s="1"/>
  <c r="AK30" i="2" s="1"/>
  <c r="AL30" i="2" s="1"/>
  <c r="Z26" i="2"/>
  <c r="AE26" i="2" s="1"/>
  <c r="M27" i="2"/>
  <c r="N27" i="2" s="1"/>
  <c r="AM29" i="2" l="1"/>
  <c r="M28" i="2"/>
  <c r="N28" i="2" s="1"/>
  <c r="H29" i="2"/>
  <c r="K29" i="2" s="1"/>
  <c r="M29" i="2" s="1"/>
  <c r="N29" i="2" s="1"/>
  <c r="AA26" i="2"/>
  <c r="A32" i="2"/>
  <c r="B32" i="2" s="1"/>
  <c r="D32" i="2" s="1"/>
  <c r="E32" i="2" s="1"/>
  <c r="AK32" i="2" s="1"/>
  <c r="AL32" i="2" s="1"/>
  <c r="J31" i="2"/>
  <c r="L31" i="2" s="1"/>
  <c r="B31" i="2"/>
  <c r="D31" i="2" s="1"/>
  <c r="E31" i="2" s="1"/>
  <c r="AK31" i="2" s="1"/>
  <c r="AL31" i="2" s="1"/>
  <c r="C31" i="2"/>
  <c r="G30" i="2"/>
  <c r="AH30" i="2" s="1"/>
  <c r="AI30" i="2" s="1"/>
  <c r="C32" i="2"/>
  <c r="Z27" i="2"/>
  <c r="AE27" i="2" s="1"/>
  <c r="Y30" i="2"/>
  <c r="AD30" i="2" s="1"/>
  <c r="AM30" i="2" l="1"/>
  <c r="A33" i="2"/>
  <c r="C33" i="2" s="1"/>
  <c r="F32" i="2"/>
  <c r="G32" i="2" s="1"/>
  <c r="AH32" i="2" s="1"/>
  <c r="AI32" i="2" s="1"/>
  <c r="G31" i="2"/>
  <c r="AH31" i="2" s="1"/>
  <c r="AI31" i="2" s="1"/>
  <c r="X29" i="2"/>
  <c r="AC29" i="2" s="1"/>
  <c r="Z28" i="2"/>
  <c r="AE28" i="2" s="1"/>
  <c r="H30" i="2"/>
  <c r="K30" i="2" s="1"/>
  <c r="M30" i="2" s="1"/>
  <c r="N30" i="2" s="1"/>
  <c r="AA27" i="2"/>
  <c r="J32" i="2"/>
  <c r="Z29" i="2"/>
  <c r="AE29" i="2" s="1"/>
  <c r="F33" i="2"/>
  <c r="B33" i="2"/>
  <c r="D33" i="2" s="1"/>
  <c r="E33" i="2" s="1"/>
  <c r="AK33" i="2" s="1"/>
  <c r="AL33" i="2" s="1"/>
  <c r="J33" i="2"/>
  <c r="A34" i="2"/>
  <c r="Y31" i="2"/>
  <c r="AD31" i="2" s="1"/>
  <c r="AM31" i="2" l="1"/>
  <c r="AM32" i="2"/>
  <c r="L32" i="2"/>
  <c r="G33" i="2"/>
  <c r="AH33" i="2" s="1"/>
  <c r="AI33" i="2" s="1"/>
  <c r="H31" i="2"/>
  <c r="K31" i="2" s="1"/>
  <c r="M31" i="2" s="1"/>
  <c r="N31" i="2" s="1"/>
  <c r="X30" i="2"/>
  <c r="AC30" i="2" s="1"/>
  <c r="AA28" i="2"/>
  <c r="H32" i="2"/>
  <c r="K32" i="2" s="1"/>
  <c r="M32" i="2" s="1"/>
  <c r="N32" i="2" s="1"/>
  <c r="Z30" i="2"/>
  <c r="AE30" i="2" s="1"/>
  <c r="AA29" i="2"/>
  <c r="F34" i="2"/>
  <c r="C34" i="2"/>
  <c r="B34" i="2"/>
  <c r="D34" i="2" s="1"/>
  <c r="E34" i="2" s="1"/>
  <c r="AK34" i="2" s="1"/>
  <c r="AL34" i="2" s="1"/>
  <c r="J34" i="2"/>
  <c r="A35" i="2"/>
  <c r="Y32" i="2"/>
  <c r="AD32" i="2" s="1"/>
  <c r="L33" i="2"/>
  <c r="AM33" i="2" l="1"/>
  <c r="G34" i="2"/>
  <c r="AH34" i="2" s="1"/>
  <c r="AI34" i="2" s="1"/>
  <c r="X31" i="2"/>
  <c r="AC31" i="2" s="1"/>
  <c r="Z31" i="2"/>
  <c r="AE31" i="2" s="1"/>
  <c r="H33" i="2"/>
  <c r="K33" i="2" s="1"/>
  <c r="X33" i="2" s="1"/>
  <c r="AC33" i="2" s="1"/>
  <c r="AA30" i="2"/>
  <c r="F35" i="2"/>
  <c r="C35" i="2"/>
  <c r="B35" i="2"/>
  <c r="D35" i="2" s="1"/>
  <c r="E35" i="2" s="1"/>
  <c r="AK35" i="2" s="1"/>
  <c r="AL35" i="2" s="1"/>
  <c r="X32" i="2"/>
  <c r="AC32" i="2" s="1"/>
  <c r="Z32" i="2"/>
  <c r="AE32" i="2" s="1"/>
  <c r="J35" i="2"/>
  <c r="A36" i="2"/>
  <c r="L34" i="2"/>
  <c r="Y33" i="2"/>
  <c r="AD33" i="2" s="1"/>
  <c r="AM34" i="2" l="1"/>
  <c r="G35" i="2"/>
  <c r="AH35" i="2" s="1"/>
  <c r="AI35" i="2" s="1"/>
  <c r="AA31" i="2"/>
  <c r="H34" i="2"/>
  <c r="K34" i="2" s="1"/>
  <c r="M34" i="2" s="1"/>
  <c r="N34" i="2" s="1"/>
  <c r="AA32" i="2"/>
  <c r="F36" i="2"/>
  <c r="C36" i="2"/>
  <c r="B36" i="2"/>
  <c r="D36" i="2" s="1"/>
  <c r="E36" i="2" s="1"/>
  <c r="AK36" i="2" s="1"/>
  <c r="AL36" i="2" s="1"/>
  <c r="M33" i="2"/>
  <c r="N33" i="2" s="1"/>
  <c r="J36" i="2"/>
  <c r="Y34" i="2"/>
  <c r="AD34" i="2" s="1"/>
  <c r="A37" i="2"/>
  <c r="L35" i="2"/>
  <c r="AM35" i="2" l="1"/>
  <c r="G36" i="2"/>
  <c r="AH36" i="2" s="1"/>
  <c r="AI36" i="2" s="1"/>
  <c r="H35" i="2"/>
  <c r="K35" i="2" s="1"/>
  <c r="X35" i="2" s="1"/>
  <c r="AC35" i="2" s="1"/>
  <c r="F37" i="2"/>
  <c r="C37" i="2"/>
  <c r="B37" i="2"/>
  <c r="D37" i="2" s="1"/>
  <c r="E37" i="2" s="1"/>
  <c r="AK37" i="2" s="1"/>
  <c r="AL37" i="2" s="1"/>
  <c r="Z33" i="2"/>
  <c r="AE33" i="2" s="1"/>
  <c r="X34" i="2"/>
  <c r="AC34" i="2" s="1"/>
  <c r="Z34" i="2"/>
  <c r="AE34" i="2" s="1"/>
  <c r="J37" i="2"/>
  <c r="L36" i="2"/>
  <c r="Y35" i="2"/>
  <c r="AD35" i="2" s="1"/>
  <c r="A38" i="2"/>
  <c r="AM36" i="2" l="1"/>
  <c r="G37" i="2"/>
  <c r="AH37" i="2" s="1"/>
  <c r="AI37" i="2" s="1"/>
  <c r="H36" i="2"/>
  <c r="K36" i="2" s="1"/>
  <c r="M36" i="2" s="1"/>
  <c r="N36" i="2" s="1"/>
  <c r="AA33" i="2"/>
  <c r="AA34" i="2"/>
  <c r="F38" i="2"/>
  <c r="C38" i="2"/>
  <c r="B38" i="2"/>
  <c r="D38" i="2" s="1"/>
  <c r="E38" i="2" s="1"/>
  <c r="AK38" i="2" s="1"/>
  <c r="AL38" i="2" s="1"/>
  <c r="M35" i="2"/>
  <c r="N35" i="2" s="1"/>
  <c r="J38" i="2"/>
  <c r="L37" i="2"/>
  <c r="A39" i="2"/>
  <c r="Y36" i="2"/>
  <c r="AD36" i="2" s="1"/>
  <c r="AM37" i="2" l="1"/>
  <c r="G38" i="2"/>
  <c r="AH38" i="2" s="1"/>
  <c r="AI38" i="2" s="1"/>
  <c r="H37" i="2"/>
  <c r="K37" i="2" s="1"/>
  <c r="M37" i="2" s="1"/>
  <c r="N37" i="2" s="1"/>
  <c r="F39" i="2"/>
  <c r="C39" i="2"/>
  <c r="B39" i="2"/>
  <c r="D39" i="2" s="1"/>
  <c r="E39" i="2" s="1"/>
  <c r="AK39" i="2" s="1"/>
  <c r="AL39" i="2" s="1"/>
  <c r="Z35" i="2"/>
  <c r="AE35" i="2" s="1"/>
  <c r="X36" i="2"/>
  <c r="AC36" i="2" s="1"/>
  <c r="Z36" i="2"/>
  <c r="AE36" i="2" s="1"/>
  <c r="J39" i="2"/>
  <c r="Y37" i="2"/>
  <c r="AD37" i="2" s="1"/>
  <c r="A40" i="2"/>
  <c r="L38" i="2"/>
  <c r="AM38" i="2" l="1"/>
  <c r="G39" i="2"/>
  <c r="AH39" i="2" s="1"/>
  <c r="AI39" i="2" s="1"/>
  <c r="H38" i="2"/>
  <c r="K38" i="2" s="1"/>
  <c r="M38" i="2" s="1"/>
  <c r="N38" i="2" s="1"/>
  <c r="AA36" i="2"/>
  <c r="AA35" i="2"/>
  <c r="F40" i="2"/>
  <c r="C40" i="2"/>
  <c r="B40" i="2"/>
  <c r="D40" i="2" s="1"/>
  <c r="E40" i="2" s="1"/>
  <c r="AK40" i="2" s="1"/>
  <c r="AL40" i="2" s="1"/>
  <c r="X37" i="2"/>
  <c r="AC37" i="2" s="1"/>
  <c r="Z37" i="2"/>
  <c r="AE37" i="2" s="1"/>
  <c r="J40" i="2"/>
  <c r="L39" i="2"/>
  <c r="Y38" i="2"/>
  <c r="AD38" i="2" s="1"/>
  <c r="A41" i="2"/>
  <c r="AM39" i="2" l="1"/>
  <c r="G40" i="2"/>
  <c r="AH40" i="2" s="1"/>
  <c r="AI40" i="2" s="1"/>
  <c r="H39" i="2"/>
  <c r="K39" i="2" s="1"/>
  <c r="M39" i="2" s="1"/>
  <c r="N39" i="2" s="1"/>
  <c r="AA37" i="2"/>
  <c r="F41" i="2"/>
  <c r="C41" i="2"/>
  <c r="B41" i="2"/>
  <c r="D41" i="2" s="1"/>
  <c r="E41" i="2" s="1"/>
  <c r="AK41" i="2" s="1"/>
  <c r="AL41" i="2" s="1"/>
  <c r="X38" i="2"/>
  <c r="AC38" i="2" s="1"/>
  <c r="Z38" i="2"/>
  <c r="AE38" i="2" s="1"/>
  <c r="J41" i="2"/>
  <c r="L40" i="2"/>
  <c r="A42" i="2"/>
  <c r="Y39" i="2"/>
  <c r="AD39" i="2" s="1"/>
  <c r="AM40" i="2" l="1"/>
  <c r="G41" i="2"/>
  <c r="AH41" i="2" s="1"/>
  <c r="AI41" i="2" s="1"/>
  <c r="H40" i="2"/>
  <c r="K40" i="2" s="1"/>
  <c r="M40" i="2" s="1"/>
  <c r="N40" i="2" s="1"/>
  <c r="AA38" i="2"/>
  <c r="F42" i="2"/>
  <c r="C42" i="2"/>
  <c r="B42" i="2"/>
  <c r="D42" i="2" s="1"/>
  <c r="E42" i="2" s="1"/>
  <c r="AK42" i="2" s="1"/>
  <c r="AL42" i="2" s="1"/>
  <c r="X39" i="2"/>
  <c r="AC39" i="2" s="1"/>
  <c r="Z39" i="2"/>
  <c r="AE39" i="2" s="1"/>
  <c r="J42" i="2"/>
  <c r="Y40" i="2"/>
  <c r="AD40" i="2" s="1"/>
  <c r="L41" i="2"/>
  <c r="A43" i="2"/>
  <c r="AM41" i="2" l="1"/>
  <c r="G42" i="2"/>
  <c r="AH42" i="2" s="1"/>
  <c r="H41" i="2"/>
  <c r="K41" i="2" s="1"/>
  <c r="M41" i="2" s="1"/>
  <c r="N41" i="2" s="1"/>
  <c r="AA39" i="2"/>
  <c r="F43" i="2"/>
  <c r="C43" i="2"/>
  <c r="B43" i="2"/>
  <c r="D43" i="2" s="1"/>
  <c r="E43" i="2" s="1"/>
  <c r="AK43" i="2" s="1"/>
  <c r="AL43" i="2" s="1"/>
  <c r="X40" i="2"/>
  <c r="AC40" i="2" s="1"/>
  <c r="Z40" i="2"/>
  <c r="AE40" i="2" s="1"/>
  <c r="J43" i="2"/>
  <c r="L42" i="2"/>
  <c r="Y41" i="2"/>
  <c r="AD41" i="2" s="1"/>
  <c r="A44" i="2"/>
  <c r="G43" i="2" l="1"/>
  <c r="AH43" i="2" s="1"/>
  <c r="AI43" i="2" s="1"/>
  <c r="AI42" i="2"/>
  <c r="AM42" i="2" s="1"/>
  <c r="H42" i="2"/>
  <c r="K42" i="2" s="1"/>
  <c r="M42" i="2" s="1"/>
  <c r="N42" i="2" s="1"/>
  <c r="AA40" i="2"/>
  <c r="F44" i="2"/>
  <c r="C44" i="2"/>
  <c r="B44" i="2"/>
  <c r="D44" i="2" s="1"/>
  <c r="E44" i="2" s="1"/>
  <c r="AK44" i="2" s="1"/>
  <c r="AL44" i="2" s="1"/>
  <c r="X41" i="2"/>
  <c r="AC41" i="2" s="1"/>
  <c r="Z41" i="2"/>
  <c r="AE41" i="2" s="1"/>
  <c r="J44" i="2"/>
  <c r="L43" i="2"/>
  <c r="Y42" i="2"/>
  <c r="AD42" i="2" s="1"/>
  <c r="A45" i="2"/>
  <c r="AM43" i="2" l="1"/>
  <c r="G44" i="2"/>
  <c r="AH44" i="2" s="1"/>
  <c r="AI44" i="2" s="1"/>
  <c r="H43" i="2"/>
  <c r="K43" i="2" s="1"/>
  <c r="M43" i="2" s="1"/>
  <c r="N43" i="2" s="1"/>
  <c r="AA41" i="2"/>
  <c r="F45" i="2"/>
  <c r="C45" i="2"/>
  <c r="B45" i="2"/>
  <c r="D45" i="2" s="1"/>
  <c r="E45" i="2" s="1"/>
  <c r="AK45" i="2" s="1"/>
  <c r="AL45" i="2" s="1"/>
  <c r="X42" i="2"/>
  <c r="AC42" i="2" s="1"/>
  <c r="Z42" i="2"/>
  <c r="AE42" i="2" s="1"/>
  <c r="J45" i="2"/>
  <c r="A46" i="2"/>
  <c r="Y43" i="2"/>
  <c r="AD43" i="2" s="1"/>
  <c r="L44" i="2"/>
  <c r="AM44" i="2" l="1"/>
  <c r="G45" i="2"/>
  <c r="AH45" i="2" s="1"/>
  <c r="AI45" i="2" s="1"/>
  <c r="H44" i="2"/>
  <c r="K44" i="2" s="1"/>
  <c r="M44" i="2" s="1"/>
  <c r="N44" i="2" s="1"/>
  <c r="AA42" i="2"/>
  <c r="F46" i="2"/>
  <c r="C46" i="2"/>
  <c r="B46" i="2"/>
  <c r="D46" i="2" s="1"/>
  <c r="E46" i="2" s="1"/>
  <c r="AK46" i="2" s="1"/>
  <c r="AL46" i="2" s="1"/>
  <c r="X43" i="2"/>
  <c r="AC43" i="2" s="1"/>
  <c r="Z43" i="2"/>
  <c r="AE43" i="2" s="1"/>
  <c r="J46" i="2"/>
  <c r="Y44" i="2"/>
  <c r="AD44" i="2" s="1"/>
  <c r="L45" i="2"/>
  <c r="A47" i="2"/>
  <c r="AM45" i="2" l="1"/>
  <c r="G46" i="2"/>
  <c r="AH46" i="2" s="1"/>
  <c r="AI46" i="2" s="1"/>
  <c r="H45" i="2"/>
  <c r="K45" i="2" s="1"/>
  <c r="X45" i="2" s="1"/>
  <c r="AC45" i="2" s="1"/>
  <c r="AA43" i="2"/>
  <c r="F47" i="2"/>
  <c r="C47" i="2"/>
  <c r="B47" i="2"/>
  <c r="D47" i="2" s="1"/>
  <c r="E47" i="2" s="1"/>
  <c r="AK47" i="2" s="1"/>
  <c r="AL47" i="2" s="1"/>
  <c r="X44" i="2"/>
  <c r="AC44" i="2" s="1"/>
  <c r="Z44" i="2"/>
  <c r="AE44" i="2" s="1"/>
  <c r="J47" i="2"/>
  <c r="A48" i="2"/>
  <c r="L46" i="2"/>
  <c r="Y45" i="2"/>
  <c r="AD45" i="2" s="1"/>
  <c r="AM46" i="2" l="1"/>
  <c r="G47" i="2"/>
  <c r="AH47" i="2" s="1"/>
  <c r="AI47" i="2" s="1"/>
  <c r="H46" i="2"/>
  <c r="K46" i="2" s="1"/>
  <c r="M46" i="2" s="1"/>
  <c r="N46" i="2" s="1"/>
  <c r="AA44" i="2"/>
  <c r="F48" i="2"/>
  <c r="C48" i="2"/>
  <c r="B48" i="2"/>
  <c r="D48" i="2" s="1"/>
  <c r="E48" i="2" s="1"/>
  <c r="AK48" i="2" s="1"/>
  <c r="AL48" i="2" s="1"/>
  <c r="M45" i="2"/>
  <c r="N45" i="2" s="1"/>
  <c r="J48" i="2"/>
  <c r="L47" i="2"/>
  <c r="Y46" i="2"/>
  <c r="AD46" i="2" s="1"/>
  <c r="A49" i="2"/>
  <c r="AM47" i="2" l="1"/>
  <c r="G48" i="2"/>
  <c r="AH48" i="2" s="1"/>
  <c r="AI48" i="2" s="1"/>
  <c r="H47" i="2"/>
  <c r="K47" i="2" s="1"/>
  <c r="M47" i="2" s="1"/>
  <c r="N47" i="2" s="1"/>
  <c r="F49" i="2"/>
  <c r="C49" i="2"/>
  <c r="B49" i="2"/>
  <c r="D49" i="2" s="1"/>
  <c r="E49" i="2" s="1"/>
  <c r="AK49" i="2" s="1"/>
  <c r="AL49" i="2" s="1"/>
  <c r="Z45" i="2"/>
  <c r="AE45" i="2" s="1"/>
  <c r="X46" i="2"/>
  <c r="AC46" i="2" s="1"/>
  <c r="Z46" i="2"/>
  <c r="AE46" i="2" s="1"/>
  <c r="J49" i="2"/>
  <c r="L48" i="2"/>
  <c r="A50" i="2"/>
  <c r="Y47" i="2"/>
  <c r="AD47" i="2" s="1"/>
  <c r="AM48" i="2" l="1"/>
  <c r="G49" i="2"/>
  <c r="AH49" i="2" s="1"/>
  <c r="AI49" i="2" s="1"/>
  <c r="H48" i="2"/>
  <c r="K48" i="2" s="1"/>
  <c r="M48" i="2" s="1"/>
  <c r="N48" i="2" s="1"/>
  <c r="AA45" i="2"/>
  <c r="AA46" i="2"/>
  <c r="F50" i="2"/>
  <c r="C50" i="2"/>
  <c r="B50" i="2"/>
  <c r="D50" i="2" s="1"/>
  <c r="E50" i="2" s="1"/>
  <c r="AK50" i="2" s="1"/>
  <c r="AL50" i="2" s="1"/>
  <c r="X47" i="2"/>
  <c r="AC47" i="2" s="1"/>
  <c r="Z47" i="2"/>
  <c r="AE47" i="2" s="1"/>
  <c r="J50" i="2"/>
  <c r="A51" i="2"/>
  <c r="Y48" i="2"/>
  <c r="AD48" i="2" s="1"/>
  <c r="L49" i="2"/>
  <c r="AM49" i="2" l="1"/>
  <c r="G50" i="2"/>
  <c r="AH50" i="2" s="1"/>
  <c r="AI50" i="2" s="1"/>
  <c r="H49" i="2"/>
  <c r="K49" i="2" s="1"/>
  <c r="M49" i="2" s="1"/>
  <c r="N49" i="2" s="1"/>
  <c r="AA47" i="2"/>
  <c r="F51" i="2"/>
  <c r="C51" i="2"/>
  <c r="B51" i="2"/>
  <c r="D51" i="2" s="1"/>
  <c r="E51" i="2" s="1"/>
  <c r="AK51" i="2" s="1"/>
  <c r="AL51" i="2" s="1"/>
  <c r="X48" i="2"/>
  <c r="AC48" i="2" s="1"/>
  <c r="Z48" i="2"/>
  <c r="AE48" i="2" s="1"/>
  <c r="J51" i="2"/>
  <c r="A52" i="2"/>
  <c r="L50" i="2"/>
  <c r="Y49" i="2"/>
  <c r="AD49" i="2" s="1"/>
  <c r="AM50" i="2" l="1"/>
  <c r="G51" i="2"/>
  <c r="AH51" i="2" s="1"/>
  <c r="AI51" i="2" s="1"/>
  <c r="H50" i="2"/>
  <c r="K50" i="2" s="1"/>
  <c r="X50" i="2" s="1"/>
  <c r="AC50" i="2" s="1"/>
  <c r="AA48" i="2"/>
  <c r="F52" i="2"/>
  <c r="C52" i="2"/>
  <c r="B52" i="2"/>
  <c r="D52" i="2" s="1"/>
  <c r="E52" i="2" s="1"/>
  <c r="AK52" i="2" s="1"/>
  <c r="AL52" i="2" s="1"/>
  <c r="X49" i="2"/>
  <c r="AC49" i="2" s="1"/>
  <c r="Z49" i="2"/>
  <c r="AE49" i="2" s="1"/>
  <c r="J52" i="2"/>
  <c r="Y50" i="2"/>
  <c r="AD50" i="2" s="1"/>
  <c r="A53" i="2"/>
  <c r="L51" i="2"/>
  <c r="AM51" i="2" l="1"/>
  <c r="G52" i="2"/>
  <c r="AH52" i="2" s="1"/>
  <c r="AI52" i="2" s="1"/>
  <c r="M50" i="2"/>
  <c r="N50" i="2" s="1"/>
  <c r="H51" i="2"/>
  <c r="K51" i="2" s="1"/>
  <c r="X51" i="2" s="1"/>
  <c r="AC51" i="2" s="1"/>
  <c r="AA49" i="2"/>
  <c r="F53" i="2"/>
  <c r="C53" i="2"/>
  <c r="B53" i="2"/>
  <c r="D53" i="2" s="1"/>
  <c r="E53" i="2" s="1"/>
  <c r="AK53" i="2" s="1"/>
  <c r="AL53" i="2" s="1"/>
  <c r="J53" i="2"/>
  <c r="L52" i="2"/>
  <c r="Y51" i="2"/>
  <c r="AD51" i="2" s="1"/>
  <c r="A54" i="2"/>
  <c r="AM52" i="2" l="1"/>
  <c r="G53" i="2"/>
  <c r="AH53" i="2" s="1"/>
  <c r="AI53" i="2" s="1"/>
  <c r="M51" i="2"/>
  <c r="N51" i="2" s="1"/>
  <c r="H52" i="2"/>
  <c r="K52" i="2" s="1"/>
  <c r="M52" i="2" s="1"/>
  <c r="N52" i="2" s="1"/>
  <c r="Z50" i="2"/>
  <c r="AE50" i="2" s="1"/>
  <c r="F54" i="2"/>
  <c r="C54" i="2"/>
  <c r="B54" i="2"/>
  <c r="D54" i="2" s="1"/>
  <c r="E54" i="2" s="1"/>
  <c r="AK54" i="2" s="1"/>
  <c r="AL54" i="2" s="1"/>
  <c r="J54" i="2"/>
  <c r="A55" i="2"/>
  <c r="Y52" i="2"/>
  <c r="AD52" i="2" s="1"/>
  <c r="L53" i="2"/>
  <c r="AM53" i="2" l="1"/>
  <c r="G54" i="2"/>
  <c r="AH54" i="2" s="1"/>
  <c r="AI54" i="2" s="1"/>
  <c r="AA50" i="2"/>
  <c r="X52" i="2"/>
  <c r="AC52" i="2" s="1"/>
  <c r="H53" i="2"/>
  <c r="K53" i="2" s="1"/>
  <c r="X53" i="2" s="1"/>
  <c r="AC53" i="2" s="1"/>
  <c r="Z51" i="2"/>
  <c r="AE51" i="2" s="1"/>
  <c r="F55" i="2"/>
  <c r="C55" i="2"/>
  <c r="B55" i="2"/>
  <c r="D55" i="2" s="1"/>
  <c r="E55" i="2" s="1"/>
  <c r="AK55" i="2" s="1"/>
  <c r="AL55" i="2" s="1"/>
  <c r="Z52" i="2"/>
  <c r="AE52" i="2" s="1"/>
  <c r="J55" i="2"/>
  <c r="Y53" i="2"/>
  <c r="AD53" i="2" s="1"/>
  <c r="A56" i="2"/>
  <c r="L54" i="2"/>
  <c r="AM54" i="2" l="1"/>
  <c r="G55" i="2"/>
  <c r="AH55" i="2" s="1"/>
  <c r="AI55" i="2" s="1"/>
  <c r="H54" i="2"/>
  <c r="K54" i="2" s="1"/>
  <c r="M54" i="2" s="1"/>
  <c r="N54" i="2" s="1"/>
  <c r="M53" i="2"/>
  <c r="N53" i="2" s="1"/>
  <c r="AA51" i="2"/>
  <c r="AA52" i="2"/>
  <c r="F56" i="2"/>
  <c r="C56" i="2"/>
  <c r="B56" i="2"/>
  <c r="D56" i="2" s="1"/>
  <c r="E56" i="2" s="1"/>
  <c r="AK56" i="2" s="1"/>
  <c r="AL56" i="2" s="1"/>
  <c r="J56" i="2"/>
  <c r="Y54" i="2"/>
  <c r="AD54" i="2" s="1"/>
  <c r="L55" i="2"/>
  <c r="A57" i="2"/>
  <c r="AM55" i="2" l="1"/>
  <c r="G56" i="2"/>
  <c r="AH56" i="2" s="1"/>
  <c r="AI56" i="2" s="1"/>
  <c r="Z53" i="2"/>
  <c r="AE53" i="2" s="1"/>
  <c r="X54" i="2"/>
  <c r="AC54" i="2" s="1"/>
  <c r="H55" i="2"/>
  <c r="K55" i="2" s="1"/>
  <c r="X55" i="2" s="1"/>
  <c r="AC55" i="2" s="1"/>
  <c r="F57" i="2"/>
  <c r="C57" i="2"/>
  <c r="B57" i="2"/>
  <c r="D57" i="2" s="1"/>
  <c r="E57" i="2" s="1"/>
  <c r="AK57" i="2" s="1"/>
  <c r="AL57" i="2" s="1"/>
  <c r="Z54" i="2"/>
  <c r="AE54" i="2" s="1"/>
  <c r="J57" i="2"/>
  <c r="Y55" i="2"/>
  <c r="AD55" i="2" s="1"/>
  <c r="L56" i="2"/>
  <c r="A58" i="2"/>
  <c r="AM56" i="2" l="1"/>
  <c r="G57" i="2"/>
  <c r="AH57" i="2" s="1"/>
  <c r="AI57" i="2" s="1"/>
  <c r="AA53" i="2"/>
  <c r="M55" i="2"/>
  <c r="N55" i="2" s="1"/>
  <c r="H56" i="2"/>
  <c r="K56" i="2" s="1"/>
  <c r="X56" i="2" s="1"/>
  <c r="AC56" i="2" s="1"/>
  <c r="AA54" i="2"/>
  <c r="F58" i="2"/>
  <c r="C58" i="2"/>
  <c r="B58" i="2"/>
  <c r="D58" i="2" s="1"/>
  <c r="E58" i="2" s="1"/>
  <c r="AK58" i="2" s="1"/>
  <c r="AL58" i="2" s="1"/>
  <c r="J58" i="2"/>
  <c r="A59" i="2"/>
  <c r="L57" i="2"/>
  <c r="Y56" i="2"/>
  <c r="AD56" i="2" s="1"/>
  <c r="AM57" i="2" l="1"/>
  <c r="G58" i="2"/>
  <c r="AH58" i="2" s="1"/>
  <c r="AI58" i="2" s="1"/>
  <c r="H57" i="2"/>
  <c r="K57" i="2" s="1"/>
  <c r="M57" i="2" s="1"/>
  <c r="N57" i="2" s="1"/>
  <c r="M56" i="2"/>
  <c r="N56" i="2" s="1"/>
  <c r="Z55" i="2"/>
  <c r="AE55" i="2" s="1"/>
  <c r="F59" i="2"/>
  <c r="C59" i="2"/>
  <c r="B59" i="2"/>
  <c r="D59" i="2" s="1"/>
  <c r="E59" i="2" s="1"/>
  <c r="AK59" i="2" s="1"/>
  <c r="AL59" i="2" s="1"/>
  <c r="J59" i="2"/>
  <c r="L58" i="2"/>
  <c r="Y57" i="2"/>
  <c r="AD57" i="2" s="1"/>
  <c r="A60" i="2"/>
  <c r="AM58" i="2" l="1"/>
  <c r="G59" i="2"/>
  <c r="AH59" i="2" s="1"/>
  <c r="AI59" i="2" s="1"/>
  <c r="Z56" i="2"/>
  <c r="AE56" i="2" s="1"/>
  <c r="AA55" i="2"/>
  <c r="X57" i="2"/>
  <c r="AC57" i="2" s="1"/>
  <c r="H58" i="2"/>
  <c r="K58" i="2" s="1"/>
  <c r="X58" i="2" s="1"/>
  <c r="AC58" i="2" s="1"/>
  <c r="F60" i="2"/>
  <c r="C60" i="2"/>
  <c r="B60" i="2"/>
  <c r="D60" i="2" s="1"/>
  <c r="E60" i="2" s="1"/>
  <c r="AK60" i="2" s="1"/>
  <c r="AL60" i="2" s="1"/>
  <c r="Z57" i="2"/>
  <c r="AE57" i="2" s="1"/>
  <c r="J60" i="2"/>
  <c r="A61" i="2"/>
  <c r="Y58" i="2"/>
  <c r="AD58" i="2" s="1"/>
  <c r="L59" i="2"/>
  <c r="AM59" i="2" l="1"/>
  <c r="G60" i="2"/>
  <c r="AH60" i="2" s="1"/>
  <c r="AI60" i="2" s="1"/>
  <c r="AA56" i="2"/>
  <c r="M58" i="2"/>
  <c r="N58" i="2" s="1"/>
  <c r="H59" i="2"/>
  <c r="K59" i="2" s="1"/>
  <c r="M59" i="2" s="1"/>
  <c r="N59" i="2" s="1"/>
  <c r="AA57" i="2"/>
  <c r="F61" i="2"/>
  <c r="C61" i="2"/>
  <c r="B61" i="2"/>
  <c r="D61" i="2" s="1"/>
  <c r="E61" i="2" s="1"/>
  <c r="AK61" i="2" s="1"/>
  <c r="AL61" i="2" s="1"/>
  <c r="J61" i="2"/>
  <c r="A62" i="2"/>
  <c r="C62" i="2" s="1"/>
  <c r="Y59" i="2"/>
  <c r="AD59" i="2" s="1"/>
  <c r="L60" i="2"/>
  <c r="AM60" i="2" l="1"/>
  <c r="G61" i="2"/>
  <c r="AH61" i="2" s="1"/>
  <c r="AI61" i="2" s="1"/>
  <c r="Z58" i="2"/>
  <c r="AE58" i="2" s="1"/>
  <c r="H60" i="2"/>
  <c r="K60" i="2" s="1"/>
  <c r="M60" i="2" s="1"/>
  <c r="N60" i="2" s="1"/>
  <c r="X59" i="2"/>
  <c r="AC59" i="2" s="1"/>
  <c r="F62" i="2"/>
  <c r="B62" i="2"/>
  <c r="D62" i="2" s="1"/>
  <c r="E62" i="2" s="1"/>
  <c r="AK62" i="2" s="1"/>
  <c r="AL62" i="2" s="1"/>
  <c r="Z59" i="2"/>
  <c r="AE59" i="2" s="1"/>
  <c r="J62" i="2"/>
  <c r="L61" i="2"/>
  <c r="Y60" i="2"/>
  <c r="AD60" i="2" s="1"/>
  <c r="AM61" i="2" l="1"/>
  <c r="AA58" i="2"/>
  <c r="H61" i="2"/>
  <c r="K61" i="2" s="1"/>
  <c r="M61" i="2" s="1"/>
  <c r="N61" i="2" s="1"/>
  <c r="X60" i="2"/>
  <c r="AC60" i="2" s="1"/>
  <c r="AA59" i="2"/>
  <c r="G62" i="2"/>
  <c r="AH62" i="2" s="1"/>
  <c r="AI62" i="2" s="1"/>
  <c r="L62" i="2"/>
  <c r="Z60" i="2"/>
  <c r="AE60" i="2" s="1"/>
  <c r="Y61" i="2"/>
  <c r="AD61" i="2" s="1"/>
  <c r="AM62" i="2" l="1"/>
  <c r="AM20" i="2" s="1"/>
  <c r="H62" i="2"/>
  <c r="K62" i="2" s="1"/>
  <c r="X62" i="2" s="1"/>
  <c r="AC62" i="2" s="1"/>
  <c r="X61" i="2"/>
  <c r="AC61" i="2" s="1"/>
  <c r="AA60" i="2"/>
  <c r="Z61" i="2"/>
  <c r="AE61" i="2" s="1"/>
  <c r="Y62" i="2"/>
  <c r="AD62" i="2" s="1"/>
  <c r="AA61" i="2" l="1"/>
  <c r="M62" i="2"/>
  <c r="Y11" i="2"/>
  <c r="Y12" i="2" s="1"/>
  <c r="E12" i="2" s="1"/>
  <c r="X11" i="2"/>
  <c r="X12" i="2" s="1"/>
  <c r="E13" i="2" s="1"/>
  <c r="N62" i="2" l="1"/>
  <c r="Z62" i="2"/>
  <c r="AE62" i="2" s="1"/>
  <c r="Z11" i="2" l="1"/>
  <c r="Z12" i="2" s="1"/>
  <c r="E14" i="2" s="1"/>
  <c r="E15" i="2" s="1"/>
  <c r="AA62" i="2"/>
  <c r="Z17" i="2"/>
  <c r="B14" i="2" l="1"/>
  <c r="O59" i="2" s="1"/>
  <c r="O57" i="2" l="1"/>
  <c r="O37" i="2"/>
  <c r="O47" i="2"/>
  <c r="B15" i="2"/>
  <c r="O23" i="2"/>
  <c r="O35" i="2"/>
  <c r="O56" i="2"/>
  <c r="O29" i="2"/>
  <c r="O48" i="2"/>
  <c r="O44" i="2"/>
  <c r="O40" i="2"/>
  <c r="O43" i="2"/>
  <c r="O60" i="2"/>
  <c r="O58" i="2"/>
  <c r="O36" i="2"/>
  <c r="O54" i="2"/>
  <c r="O39" i="2"/>
  <c r="O51" i="2"/>
  <c r="O49" i="2"/>
  <c r="B16" i="2"/>
  <c r="O31" i="2"/>
  <c r="O45" i="2"/>
  <c r="O27" i="2"/>
  <c r="O41" i="2"/>
  <c r="O50" i="2"/>
  <c r="O33" i="2"/>
  <c r="O38" i="2"/>
  <c r="O46" i="2"/>
  <c r="O52" i="2"/>
  <c r="O25" i="2"/>
  <c r="O34" i="2"/>
  <c r="O62" i="2"/>
  <c r="O32" i="2"/>
  <c r="O55" i="2"/>
  <c r="O28" i="2"/>
  <c r="O30" i="2"/>
  <c r="O24" i="2"/>
  <c r="O42" i="2"/>
  <c r="O53" i="2"/>
  <c r="O26" i="2"/>
  <c r="O61" i="2"/>
</calcChain>
</file>

<file path=xl/sharedStrings.xml><?xml version="1.0" encoding="utf-8"?>
<sst xmlns="http://schemas.openxmlformats.org/spreadsheetml/2006/main" count="105" uniqueCount="96">
  <si>
    <t>V</t>
  </si>
  <si>
    <t>d1</t>
  </si>
  <si>
    <t>d2</t>
  </si>
  <si>
    <t>q</t>
  </si>
  <si>
    <t>LTV</t>
  </si>
  <si>
    <t>r</t>
  </si>
  <si>
    <t>df</t>
  </si>
  <si>
    <t>NNEG PV</t>
  </si>
  <si>
    <t>ERM PV</t>
  </si>
  <si>
    <t>LOAN PV</t>
  </si>
  <si>
    <t xml:space="preserve">Loan nominal </t>
  </si>
  <si>
    <t>Face</t>
  </si>
  <si>
    <t>Weighted</t>
  </si>
  <si>
    <t>NNEG</t>
  </si>
  <si>
    <t>Exit force</t>
  </si>
  <si>
    <t>LOAN</t>
  </si>
  <si>
    <t>ERM</t>
  </si>
  <si>
    <t>Unweighted</t>
  </si>
  <si>
    <t>Deferment pv</t>
  </si>
  <si>
    <t>forward</t>
  </si>
  <si>
    <t>strike</t>
  </si>
  <si>
    <r>
      <t>Column A</t>
    </r>
    <r>
      <rPr>
        <sz val="12"/>
        <color theme="1"/>
        <rFont val="Times New Roman"/>
        <family val="1"/>
      </rPr>
      <t xml:space="preserve">. Maturity points  - N.B. tenor, not passage of time! This caused a lot of confusion among senior management at the Bank, who thought it represented what might happen in the future. No – all the y values are strictly present value. </t>
    </r>
  </si>
  <si>
    <r>
      <t>Column D</t>
    </r>
    <r>
      <rPr>
        <sz val="12"/>
        <color theme="1"/>
        <rFont val="Times New Roman"/>
        <family val="1"/>
      </rPr>
      <t>. Strike price. This is the initial loan value (house price times LTV) projected at the loan rate, say 5%.</t>
    </r>
  </si>
  <si>
    <r>
      <t>Columns E/F</t>
    </r>
    <r>
      <rPr>
        <sz val="12"/>
        <color theme="1"/>
        <rFont val="Times New Roman"/>
        <family val="1"/>
      </rPr>
      <t>. These are the d-terms of the standard BS formula. Roughly, these represent the probability of exercise expressed in standard deviation terms.</t>
    </r>
  </si>
  <si>
    <r>
      <t>Column G</t>
    </r>
    <r>
      <rPr>
        <sz val="12"/>
        <color theme="1"/>
        <rFont val="Times New Roman"/>
        <family val="1"/>
      </rPr>
      <t>. Discount factor, i.e. exp(-rt)</t>
    </r>
  </si>
  <si>
    <r>
      <t>Column H</t>
    </r>
    <r>
      <rPr>
        <sz val="12"/>
        <color theme="1"/>
        <rFont val="Times New Roman"/>
        <family val="1"/>
      </rPr>
      <t xml:space="preserve">. NNEG pv. Standard Black European put formula representing roughly the cost of paying the strike minus value of receiving the underlying at expiry. </t>
    </r>
  </si>
  <si>
    <r>
      <t>Column I</t>
    </r>
    <r>
      <rPr>
        <sz val="12"/>
        <color theme="1"/>
        <rFont val="Times New Roman"/>
        <family val="1"/>
      </rPr>
      <t>. Loan pv, i.e. strike price discounted by interest rate. See the green line on the chart. This slopes upwards given loan rate (e.g. 5%) higher than interest rate (2%). See green line on chart</t>
    </r>
  </si>
  <si>
    <r>
      <t>Columns L-O</t>
    </r>
    <r>
      <rPr>
        <sz val="12"/>
        <color theme="1"/>
        <rFont val="Times New Roman"/>
        <family val="1"/>
      </rPr>
      <t>. Three exit curves corresponding to starting age 60, 70 and 80. These are taken from standard actuarial curves, and represent probability of exit at each maturity. The total value of each column must (naturally) sum to 100%. Column O is whatever age index has been selected (1, 2 or 3) in cell O7.</t>
    </r>
  </si>
  <si>
    <r>
      <t>Columns Q-S</t>
    </r>
    <r>
      <rPr>
        <sz val="12"/>
        <color theme="1"/>
        <rFont val="Times New Roman"/>
        <family val="1"/>
      </rPr>
      <t xml:space="preserve"> are the unweighted values of NNEG, Loan and ERM with the chosen weights applied.</t>
    </r>
  </si>
  <si>
    <r>
      <t xml:space="preserve">Finally ‘face value’ is the loan value stated in the financial report (say 6.7bn) </t>
    </r>
    <r>
      <rPr>
        <i/>
        <sz val="12"/>
        <color theme="1"/>
        <rFont val="Times New Roman"/>
        <family val="1"/>
      </rPr>
      <t>divided</t>
    </r>
    <r>
      <rPr>
        <sz val="12"/>
        <color theme="1"/>
        <rFont val="Times New Roman"/>
        <family val="1"/>
      </rPr>
      <t xml:space="preserve"> by LTV to get the nominal underlying asset value. This depends on LTV of course. I have assumed average LTV of around 35%, which is typical for ERM products. </t>
    </r>
  </si>
  <si>
    <t xml:space="preserve">We can now get an approximate assessment of the difference between the two pricing methods. </t>
  </si>
  <si>
    <r>
      <t>The correct method</t>
    </r>
    <r>
      <rPr>
        <sz val="12"/>
        <color theme="1"/>
        <rFont val="Times New Roman"/>
        <family val="1"/>
      </rPr>
      <t xml:space="preserve"> is to use a positive value for q to give a downward sloping deferment curve, as specified in PRA CP 48/16 (and repeated in the later final version SS 3/17). If we assume a net dividend or rental yield of 2.5%, you a total (weighted) present value for the loan of £11.6bn, a total NNEG cost of about £2.7bn, hence a net ERM value of £8.9bn. That’s higher than the amount lent (£6.7bn), so there is a definite profit to be had from this product.</t>
    </r>
  </si>
  <si>
    <r>
      <t>The incorrect method</t>
    </r>
    <r>
      <rPr>
        <sz val="12"/>
        <color theme="1"/>
        <rFont val="Times New Roman"/>
        <family val="1"/>
      </rPr>
      <t xml:space="preserve"> is to use a forward projection rate of assumed house price growth g, say 4.5%. With interest rate at 2%, this means they are using an implied q of r-g = 2% - 4.25% = </t>
    </r>
    <r>
      <rPr>
        <i/>
        <sz val="12"/>
        <color theme="1"/>
        <rFont val="Times New Roman"/>
        <family val="1"/>
      </rPr>
      <t>minus</t>
    </r>
    <r>
      <rPr>
        <sz val="12"/>
        <color theme="1"/>
        <rFont val="Times New Roman"/>
        <family val="1"/>
      </rPr>
      <t xml:space="preserve"> 2.25%. If you plug this into the spreadsheet the cost of the guarantee falls from £2.7bn to £216 </t>
    </r>
    <r>
      <rPr>
        <i/>
        <sz val="12"/>
        <color theme="1"/>
        <rFont val="Times New Roman"/>
        <family val="1"/>
      </rPr>
      <t>million</t>
    </r>
    <r>
      <rPr>
        <sz val="12"/>
        <color theme="1"/>
        <rFont val="Times New Roman"/>
        <family val="1"/>
      </rPr>
      <t xml:space="preserve"> i.e. a drop of more than £2bn. Quite something, and testifies to the power of gamma! </t>
    </r>
  </si>
  <si>
    <r>
      <t xml:space="preserve">Now these are approximations. In reality age and LTV will vary across the portfolio of 1,000’s of individual borrowers, but you can sure of a difference of about this magnitude. But let’s move on the solvency ratios stated in that financial report. See p.39. ‘Own funds’, i.e. capital resources is £2.192bn, Solvency capital requirement is £1.449bn, so coverage ratio is 151%. Looks good. However, it could be (stress </t>
    </r>
    <r>
      <rPr>
        <i/>
        <sz val="12"/>
        <color theme="1"/>
        <rFont val="Times New Roman"/>
        <family val="1"/>
      </rPr>
      <t>could</t>
    </r>
    <r>
      <rPr>
        <sz val="12"/>
        <color theme="1"/>
        <rFont val="Times New Roman"/>
        <family val="1"/>
      </rPr>
      <t xml:space="preserve"> be) that they have underestimated the cost of the guarantee by more than £2bn, which wipes out capital resources and leaves a coverage ratio of 0%. Oops!</t>
    </r>
  </si>
  <si>
    <t xml:space="preserve">Note also the effect of longevity assumptions. If we drop the age of 70 used in the current example to 60, i.e. effectively add 10 years longevity, the cost of the guarantee rises by £4bn. So, effective increase per year around £400m. </t>
  </si>
  <si>
    <t>http://www.bankofengland.co.uk/pra/Documents/publications/cp/2016/cp4816.pdf</t>
  </si>
  <si>
    <t>http://www.justgroupplc.co.uk/~/media/Files/J/JRMS-IR/investor-docs/financial-reports-and-presentations/jrp-group-plc-annual-report-2016-final.pdf</t>
  </si>
  <si>
    <r>
      <t>Column B</t>
    </r>
    <r>
      <rPr>
        <sz val="12"/>
        <color theme="1"/>
        <rFont val="Times New Roman"/>
        <family val="1"/>
      </rPr>
      <t xml:space="preserve">. Present value of a ‘deferment’ i.e. a contract to take possession of an income bearing asset at the maturity or deferment date. Formula exp(-qt). Note the curve is </t>
    </r>
    <r>
      <rPr>
        <i/>
        <sz val="12"/>
        <color theme="1"/>
        <rFont val="Times New Roman"/>
        <family val="1"/>
      </rPr>
      <t>downward</t>
    </r>
    <r>
      <rPr>
        <sz val="12"/>
        <color theme="1"/>
        <rFont val="Times New Roman"/>
        <family val="1"/>
      </rPr>
      <t xml:space="preserve"> sloping, because the value of a contract to take ownership in the future must compensate for lost income over the deferment period. </t>
    </r>
  </si>
  <si>
    <t xml:space="preserve">Again, there was a confusion between this and the idea that since the asset value will rise over time, it will be more valuable in the future. Incorrrect. A deferment for ‘5 years’ means just having to wait for 5 years, so asset growth rates are irrelevant. Investors get the 5 year growth whether they receive now, or in 5 years. So the graph (red line) slopes downwards. </t>
  </si>
  <si>
    <r>
      <t>Column C</t>
    </r>
    <r>
      <rPr>
        <sz val="12"/>
        <color theme="1"/>
        <rFont val="Times New Roman"/>
        <family val="1"/>
      </rPr>
      <t xml:space="preserve">. Forward price – this is the deferment price projected by risk free. Note the deferment value is the price you would pay (i.e. settle for) now, rather than pay/settle in the future, so the interest rate simply compensates the seller for lost interest. </t>
    </r>
  </si>
  <si>
    <t xml:space="preserve">Note, again, that as as the seller has sold, he has transeferred all the price risk to the buyer, so the interest rate merely compensates for lost interest. This is another source of confusion – many people argued that ‘risky assets grow faster than risk free’, confusing future growth on the asset with mere financing costs. </t>
  </si>
  <si>
    <t>This is a beginner’s error! Hence some firms (see the financial report again) are projecting at a rate corresponding to forecast house price growth.</t>
  </si>
  <si>
    <r>
      <t>Column J</t>
    </r>
    <r>
      <rPr>
        <sz val="12"/>
        <color theme="1"/>
        <rFont val="Times New Roman"/>
        <family val="1"/>
      </rPr>
      <t xml:space="preserve">.  ERM pv, i.e loan pv net of NNEG cost, corresponding to blue line on chart. Note </t>
    </r>
  </si>
  <si>
    <t xml:space="preserve">(i) these values are unweighted, i.e. we assume the borrower lives to each maturity and is then poisoned. </t>
  </si>
  <si>
    <t xml:space="preserve">(ii) The ERM value is always less than either the loan pv or the value of deferred possession. </t>
  </si>
  <si>
    <t xml:space="preserve">(iii) If you reduced the volatility assumption, the ERM value approaches the two upper bounds. You can set this on the s/sheet if you want. This is a standard property of any option. </t>
  </si>
  <si>
    <t>ir</t>
  </si>
  <si>
    <t>ERM FV</t>
  </si>
  <si>
    <t>IRR</t>
  </si>
  <si>
    <t>Nspread</t>
  </si>
  <si>
    <t>MA</t>
  </si>
  <si>
    <t>yield</t>
  </si>
  <si>
    <t>Age</t>
  </si>
  <si>
    <t>IRRx</t>
  </si>
  <si>
    <t>xs</t>
  </si>
  <si>
    <t>unwt</t>
  </si>
  <si>
    <t>Tx</t>
  </si>
  <si>
    <t>dilap</t>
  </si>
  <si>
    <t>H</t>
  </si>
  <si>
    <t>i.e. V(1)</t>
  </si>
  <si>
    <t>Stress</t>
  </si>
  <si>
    <t>Hstress</t>
  </si>
  <si>
    <t>Properties</t>
  </si>
  <si>
    <t>Average value</t>
  </si>
  <si>
    <t>Nominal values</t>
  </si>
  <si>
    <t>Delta</t>
  </si>
  <si>
    <t>Properties to deliver</t>
  </si>
  <si>
    <t>Stressed forward</t>
  </si>
  <si>
    <t>Forward</t>
  </si>
  <si>
    <t>Capital</t>
  </si>
  <si>
    <t>Explanation</t>
  </si>
  <si>
    <t>AG</t>
  </si>
  <si>
    <t>Number of properties x exit rate</t>
  </si>
  <si>
    <t xml:space="preserve">AH </t>
  </si>
  <si>
    <t>Delta to forward rate</t>
  </si>
  <si>
    <t>AI</t>
  </si>
  <si>
    <t>Properties to deliver x delta</t>
  </si>
  <si>
    <t>AK</t>
  </si>
  <si>
    <t>Forward price</t>
  </si>
  <si>
    <t>AL</t>
  </si>
  <si>
    <t xml:space="preserve">AM </t>
  </si>
  <si>
    <t>Stressed forward loss</t>
  </si>
  <si>
    <t>Stressed forward price - adjust forward by % 1 in 200, then adjust for Hurst</t>
  </si>
  <si>
    <t>Dean Buckner with edits by Kevin Dowd 17 April 2019</t>
  </si>
  <si>
    <t>Parameters</t>
  </si>
  <si>
    <t>Param values</t>
  </si>
  <si>
    <t>L (loan rate)</t>
  </si>
  <si>
    <t>V (vol)</t>
  </si>
  <si>
    <t>Loan value</t>
  </si>
  <si>
    <t>NNEG value</t>
  </si>
  <si>
    <t>ERM value</t>
  </si>
  <si>
    <t>forward/spot</t>
  </si>
  <si>
    <t>Day 1 profit</t>
  </si>
  <si>
    <t>M5 q rate</t>
  </si>
  <si>
    <t>fall in forward</t>
  </si>
  <si>
    <t>THIS SPREADSHEET GIVES THE CALCULATIONS FOR THE EXAMPLE IN CH 20 APPENDIX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</si>
</sst>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000%"/>
    <numFmt numFmtId="166" formatCode="#,##0.0"/>
    <numFmt numFmtId="167" formatCode="0.00000%"/>
    <numFmt numFmtId="168" formatCode="0.000000"/>
  </numFmts>
  <fonts count="10" x14ac:knownFonts="1">
    <font>
      <sz val="11"/>
      <color theme="1"/>
      <name val="Calibri"/>
      <family val="2"/>
      <scheme val="minor"/>
    </font>
    <font>
      <b/>
      <u/>
      <sz val="11"/>
      <color theme="1"/>
      <name val="Calibri"/>
      <family val="2"/>
      <scheme val="minor"/>
    </font>
    <font>
      <sz val="12"/>
      <color theme="1"/>
      <name val="Times New Roman"/>
      <family val="1"/>
    </font>
    <font>
      <u/>
      <sz val="12"/>
      <color theme="1"/>
      <name val="Times New Roman"/>
      <family val="1"/>
    </font>
    <font>
      <i/>
      <sz val="12"/>
      <color theme="1"/>
      <name val="Times New Roman"/>
      <family val="1"/>
    </font>
    <font>
      <u/>
      <sz val="11"/>
      <color theme="10"/>
      <name val="Calibri"/>
      <family val="2"/>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cellStyleXfs>
  <cellXfs count="34">
    <xf numFmtId="0" fontId="0" fillId="0" borderId="0" xfId="0"/>
    <xf numFmtId="4" fontId="0" fillId="0" borderId="0" xfId="0" applyNumberFormat="1"/>
    <xf numFmtId="9" fontId="0" fillId="0" borderId="0" xfId="0" applyNumberFormat="1"/>
    <xf numFmtId="10" fontId="0" fillId="0" borderId="0" xfId="0" applyNumberFormat="1"/>
    <xf numFmtId="164" fontId="0" fillId="0" borderId="0" xfId="0" applyNumberFormat="1"/>
    <xf numFmtId="3" fontId="0" fillId="0" borderId="0" xfId="0" applyNumberFormat="1"/>
    <xf numFmtId="0" fontId="0" fillId="2" borderId="0" xfId="0" applyFill="1"/>
    <xf numFmtId="0" fontId="1" fillId="0" borderId="0" xfId="0" applyFont="1"/>
    <xf numFmtId="3" fontId="0" fillId="2" borderId="0" xfId="0" applyNumberFormat="1" applyFill="1"/>
    <xf numFmtId="0" fontId="3" fillId="0" borderId="0" xfId="0" applyFont="1"/>
    <xf numFmtId="0" fontId="2" fillId="0" borderId="0" xfId="0" applyFont="1"/>
    <xf numFmtId="0" fontId="5" fillId="0" borderId="0" xfId="1" applyAlignment="1" applyProtection="1"/>
    <xf numFmtId="0" fontId="6" fillId="2" borderId="0" xfId="0" applyFont="1" applyFill="1"/>
    <xf numFmtId="165" fontId="0" fillId="0" borderId="0" xfId="0" applyNumberFormat="1"/>
    <xf numFmtId="166" fontId="0" fillId="0" borderId="0" xfId="0" applyNumberFormat="1"/>
    <xf numFmtId="0" fontId="0" fillId="0" borderId="0" xfId="0"/>
    <xf numFmtId="4" fontId="0" fillId="0" borderId="0" xfId="0" applyNumberFormat="1"/>
    <xf numFmtId="166" fontId="0" fillId="0" borderId="0" xfId="0" applyNumberFormat="1"/>
    <xf numFmtId="9" fontId="0" fillId="0" borderId="0" xfId="0" applyNumberFormat="1"/>
    <xf numFmtId="167" fontId="0" fillId="0" borderId="0" xfId="0" applyNumberFormat="1"/>
    <xf numFmtId="168" fontId="0" fillId="0" borderId="0" xfId="0" applyNumberFormat="1"/>
    <xf numFmtId="166" fontId="6" fillId="0" borderId="0" xfId="0" applyNumberFormat="1" applyFont="1"/>
    <xf numFmtId="0" fontId="8" fillId="0" borderId="0" xfId="0" applyFont="1"/>
    <xf numFmtId="0" fontId="7" fillId="0" borderId="0" xfId="0" applyFont="1"/>
    <xf numFmtId="0" fontId="6" fillId="0" borderId="0" xfId="0" applyFont="1"/>
    <xf numFmtId="3" fontId="0" fillId="3" borderId="0" xfId="0" applyNumberFormat="1" applyFill="1"/>
    <xf numFmtId="10" fontId="0" fillId="3" borderId="0" xfId="0" applyNumberFormat="1" applyFill="1"/>
    <xf numFmtId="164" fontId="0" fillId="3" borderId="0" xfId="0" applyNumberFormat="1" applyFill="1"/>
    <xf numFmtId="4" fontId="0" fillId="3" borderId="0" xfId="0" applyNumberFormat="1" applyFill="1"/>
    <xf numFmtId="166" fontId="0" fillId="0" borderId="0" xfId="0" applyNumberFormat="1" applyFont="1"/>
    <xf numFmtId="4" fontId="6" fillId="0" borderId="0" xfId="0" applyNumberFormat="1" applyFont="1"/>
    <xf numFmtId="43" fontId="6" fillId="0" borderId="0" xfId="2" applyFont="1"/>
    <xf numFmtId="9" fontId="0" fillId="0" borderId="0" xfId="3" applyFont="1"/>
    <xf numFmtId="43" fontId="0" fillId="0" borderId="0" xfId="0" applyNumberFormat="1"/>
  </cellXfs>
  <cellStyles count="4">
    <cellStyle name="Comma" xfId="2" builtinId="3"/>
    <cellStyle name="Hyperlink" xfId="1"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1.xml"/><Relationship Id="rId7" Type="http://schemas.openxmlformats.org/officeDocument/2006/relationships/sharedStrings" Target="sharedString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ERM PV</c:v>
          </c:tx>
          <c:marker>
            <c:symbol val="diamond"/>
            <c:size val="3"/>
          </c:marker>
          <c:val>
            <c:numRef>
              <c:f>'ERM value'!$M$23:$M$62</c:f>
              <c:numCache>
                <c:formatCode>0.0%</c:formatCode>
                <c:ptCount val="40"/>
                <c:pt idx="0">
                  <c:v>0.41424788351964204</c:v>
                </c:pt>
                <c:pt idx="1">
                  <c:v>0.42900313051816169</c:v>
                </c:pt>
                <c:pt idx="2">
                  <c:v>0.44426821308073366</c:v>
                </c:pt>
                <c:pt idx="3">
                  <c:v>0.45991792738771053</c:v>
                </c:pt>
                <c:pt idx="4">
                  <c:v>0.47558954914575702</c:v>
                </c:pt>
                <c:pt idx="5">
                  <c:v>0.49078799414229135</c:v>
                </c:pt>
                <c:pt idx="6">
                  <c:v>0.50505018783113886</c:v>
                </c:pt>
                <c:pt idx="7">
                  <c:v>0.51802947097617635</c:v>
                </c:pt>
                <c:pt idx="8">
                  <c:v>0.52950873918685981</c:v>
                </c:pt>
                <c:pt idx="9">
                  <c:v>0.53938112280279438</c:v>
                </c:pt>
                <c:pt idx="10">
                  <c:v>0.54762251447384647</c:v>
                </c:pt>
                <c:pt idx="11">
                  <c:v>0.55426626062755646</c:v>
                </c:pt>
                <c:pt idx="12">
                  <c:v>0.55938304911133163</c:v>
                </c:pt>
                <c:pt idx="13">
                  <c:v>0.56306604339473321</c:v>
                </c:pt>
                <c:pt idx="14">
                  <c:v>0.5654203610809585</c:v>
                </c:pt>
                <c:pt idx="15">
                  <c:v>0.56655585895378446</c:v>
                </c:pt>
                <c:pt idx="16">
                  <c:v>0.56658232688831578</c:v>
                </c:pt>
                <c:pt idx="17">
                  <c:v>0.5656063919154477</c:v>
                </c:pt>
                <c:pt idx="18">
                  <c:v>0.56372961547356981</c:v>
                </c:pt>
                <c:pt idx="19">
                  <c:v>0.56104741165028538</c:v>
                </c:pt>
                <c:pt idx="20">
                  <c:v>0.55764852264380615</c:v>
                </c:pt>
                <c:pt idx="21">
                  <c:v>0.55361486634655199</c:v>
                </c:pt>
                <c:pt idx="22">
                  <c:v>0.54902162705923219</c:v>
                </c:pt>
                <c:pt idx="23">
                  <c:v>0.54393749997299046</c:v>
                </c:pt>
                <c:pt idx="24">
                  <c:v>0.53842502789855928</c:v>
                </c:pt>
                <c:pt idx="25">
                  <c:v>0.53254098822062723</c:v>
                </c:pt>
                <c:pt idx="26">
                  <c:v>0.52633680168433383</c:v>
                </c:pt>
                <c:pt idx="27">
                  <c:v>0.51985894412872968</c:v>
                </c:pt>
                <c:pt idx="28">
                  <c:v>0.51314934889963437</c:v>
                </c:pt>
                <c:pt idx="29">
                  <c:v>0.50624579226441524</c:v>
                </c:pt>
                <c:pt idx="30">
                  <c:v>0.49918225731837174</c:v>
                </c:pt>
                <c:pt idx="31">
                  <c:v>0.49198927404056159</c:v>
                </c:pt>
                <c:pt idx="32">
                  <c:v>0.48469423462384675</c:v>
                </c:pt>
                <c:pt idx="33">
                  <c:v>0.47732168417901399</c:v>
                </c:pt>
                <c:pt idx="34">
                  <c:v>0.46989358754374289</c:v>
                </c:pt>
                <c:pt idx="35">
                  <c:v>0.46242957331809842</c:v>
                </c:pt>
                <c:pt idx="36">
                  <c:v>0.45494715647280004</c:v>
                </c:pt>
                <c:pt idx="37">
                  <c:v>0.44746194098681991</c:v>
                </c:pt>
                <c:pt idx="38">
                  <c:v>0.43998780400373705</c:v>
                </c:pt>
                <c:pt idx="39">
                  <c:v>0.43253706297768901</c:v>
                </c:pt>
              </c:numCache>
            </c:numRef>
          </c:val>
          <c:smooth val="0"/>
          <c:extLst>
            <c:ext xmlns:c16="http://schemas.microsoft.com/office/drawing/2014/chart" uri="{C3380CC4-5D6E-409C-BE32-E72D297353CC}">
              <c16:uniqueId val="{00000000-B3D6-964E-87BC-B0A46868CC6B}"/>
            </c:ext>
          </c:extLst>
        </c:ser>
        <c:ser>
          <c:idx val="1"/>
          <c:order val="1"/>
          <c:tx>
            <c:v>Deferment</c:v>
          </c:tx>
          <c:marker>
            <c:symbol val="square"/>
            <c:size val="3"/>
          </c:marker>
          <c:val>
            <c:numRef>
              <c:f>'ERM value'!$D$23:$D$62</c:f>
              <c:numCache>
                <c:formatCode>0.0%</c:formatCode>
                <c:ptCount val="40"/>
                <c:pt idx="0">
                  <c:v>0.98019867330675525</c:v>
                </c:pt>
                <c:pt idx="1">
                  <c:v>0.96078943915232318</c:v>
                </c:pt>
                <c:pt idx="2">
                  <c:v>0.94176453358424872</c:v>
                </c:pt>
                <c:pt idx="3">
                  <c:v>0.92311634638663576</c:v>
                </c:pt>
                <c:pt idx="4">
                  <c:v>0.90483741803595952</c:v>
                </c:pt>
                <c:pt idx="5">
                  <c:v>0.88692043671715748</c:v>
                </c:pt>
                <c:pt idx="6">
                  <c:v>0.86935823539880586</c:v>
                </c:pt>
                <c:pt idx="7">
                  <c:v>0.85214378896621135</c:v>
                </c:pt>
                <c:pt idx="8">
                  <c:v>0.835270211411272</c:v>
                </c:pt>
                <c:pt idx="9">
                  <c:v>0.81873075307798182</c:v>
                </c:pt>
                <c:pt idx="10">
                  <c:v>0.80251879796247849</c:v>
                </c:pt>
                <c:pt idx="11">
                  <c:v>0.78662786106655347</c:v>
                </c:pt>
                <c:pt idx="12">
                  <c:v>0.77105158580356625</c:v>
                </c:pt>
                <c:pt idx="13">
                  <c:v>0.75578374145572547</c:v>
                </c:pt>
                <c:pt idx="14">
                  <c:v>0.74081822068171788</c:v>
                </c:pt>
                <c:pt idx="15">
                  <c:v>0.72614903707369094</c:v>
                </c:pt>
                <c:pt idx="16">
                  <c:v>0.71177032276260965</c:v>
                </c:pt>
                <c:pt idx="17">
                  <c:v>0.69767632607103103</c:v>
                </c:pt>
                <c:pt idx="18">
                  <c:v>0.68386140921235583</c:v>
                </c:pt>
                <c:pt idx="19">
                  <c:v>0.67032004603563933</c:v>
                </c:pt>
                <c:pt idx="20">
                  <c:v>0.65704681981505675</c:v>
                </c:pt>
                <c:pt idx="21">
                  <c:v>0.64403642108314141</c:v>
                </c:pt>
                <c:pt idx="22">
                  <c:v>0.63128364550692595</c:v>
                </c:pt>
                <c:pt idx="23">
                  <c:v>0.61878339180614084</c:v>
                </c:pt>
                <c:pt idx="24">
                  <c:v>0.60653065971263342</c:v>
                </c:pt>
                <c:pt idx="25">
                  <c:v>0.59452054797019438</c:v>
                </c:pt>
                <c:pt idx="26">
                  <c:v>0.58274825237398964</c:v>
                </c:pt>
                <c:pt idx="27">
                  <c:v>0.57120906384881487</c:v>
                </c:pt>
                <c:pt idx="28">
                  <c:v>0.55989836656540204</c:v>
                </c:pt>
                <c:pt idx="29">
                  <c:v>0.54881163609402639</c:v>
                </c:pt>
                <c:pt idx="30">
                  <c:v>0.53794443759467447</c:v>
                </c:pt>
                <c:pt idx="31">
                  <c:v>0.52729242404304855</c:v>
                </c:pt>
                <c:pt idx="32">
                  <c:v>0.51685133449169918</c:v>
                </c:pt>
                <c:pt idx="33">
                  <c:v>0.50661699236558955</c:v>
                </c:pt>
                <c:pt idx="34">
                  <c:v>0.49658530379140947</c:v>
                </c:pt>
                <c:pt idx="35">
                  <c:v>0.48675225595997168</c:v>
                </c:pt>
                <c:pt idx="36">
                  <c:v>0.47711391552103438</c:v>
                </c:pt>
                <c:pt idx="37">
                  <c:v>0.46766642700990924</c:v>
                </c:pt>
                <c:pt idx="38">
                  <c:v>0.45840601130522352</c:v>
                </c:pt>
                <c:pt idx="39">
                  <c:v>0.44932896411722156</c:v>
                </c:pt>
              </c:numCache>
            </c:numRef>
          </c:val>
          <c:smooth val="0"/>
          <c:extLst>
            <c:ext xmlns:c16="http://schemas.microsoft.com/office/drawing/2014/chart" uri="{C3380CC4-5D6E-409C-BE32-E72D297353CC}">
              <c16:uniqueId val="{00000001-B3D6-964E-87BC-B0A46868CC6B}"/>
            </c:ext>
          </c:extLst>
        </c:ser>
        <c:ser>
          <c:idx val="2"/>
          <c:order val="2"/>
          <c:tx>
            <c:v>Loan pv</c:v>
          </c:tx>
          <c:marker>
            <c:symbol val="triangle"/>
            <c:size val="3"/>
          </c:marker>
          <c:val>
            <c:numRef>
              <c:f>'ERM value'!$L$23:$L$62</c:f>
              <c:numCache>
                <c:formatCode>0.0%</c:formatCode>
                <c:ptCount val="40"/>
                <c:pt idx="0">
                  <c:v>0.41424788351984931</c:v>
                </c:pt>
                <c:pt idx="1">
                  <c:v>0.42900327250168663</c:v>
                </c:pt>
                <c:pt idx="2">
                  <c:v>0.44428424414228213</c:v>
                </c:pt>
                <c:pt idx="3">
                  <c:v>0.46010951954289098</c:v>
                </c:pt>
                <c:pt idx="4">
                  <c:v>0.47649848664494326</c:v>
                </c:pt>
                <c:pt idx="5">
                  <c:v>0.49347122398269733</c:v>
                </c:pt>
                <c:pt idx="6">
                  <c:v>0.51104852528195477</c:v>
                </c:pt>
                <c:pt idx="7">
                  <c:v>0.52925192493497486</c:v>
                </c:pt>
                <c:pt idx="8">
                  <c:v>0.54810372438279875</c:v>
                </c:pt>
                <c:pt idx="9">
                  <c:v>0.56762701943730298</c:v>
                </c:pt>
                <c:pt idx="10">
                  <c:v>0.58784572857645778</c:v>
                </c:pt>
                <c:pt idx="11">
                  <c:v>0.60878462224745356</c:v>
                </c:pt>
                <c:pt idx="12">
                  <c:v>0.63046935321359665</c:v>
                </c:pt>
                <c:pt idx="13">
                  <c:v>0.65292648798215158</c:v>
                </c:pt>
                <c:pt idx="14">
                  <c:v>0.67618353935163666</c:v>
                </c:pt>
                <c:pt idx="15">
                  <c:v>0.70026900011844062</c:v>
                </c:pt>
                <c:pt idx="16">
                  <c:v>0.72521237798406279</c:v>
                </c:pt>
                <c:pt idx="17">
                  <c:v>0.75104423170573731</c:v>
                </c:pt>
                <c:pt idx="18">
                  <c:v>0.77779620853473241</c:v>
                </c:pt>
                <c:pt idx="19">
                  <c:v>0.80550108298819068</c:v>
                </c:pt>
                <c:pt idx="20">
                  <c:v>0.83419279700201121</c:v>
                </c:pt>
                <c:pt idx="21">
                  <c:v>0.86390650151396609</c:v>
                </c:pt>
                <c:pt idx="22">
                  <c:v>0.89467859952799489</c:v>
                </c:pt>
                <c:pt idx="23">
                  <c:v>0.92654679071243695</c:v>
                </c:pt>
                <c:pt idx="24">
                  <c:v>0.95955011758683928</c:v>
                </c:pt>
                <c:pt idx="25">
                  <c:v>0.9937290133539266</c:v>
                </c:pt>
                <c:pt idx="26">
                  <c:v>1.0291253514353305</c:v>
                </c:pt>
                <c:pt idx="27">
                  <c:v>1.0657824967717671</c:v>
                </c:pt>
                <c:pt idx="28">
                  <c:v>1.1037453589505131</c:v>
                </c:pt>
                <c:pt idx="29">
                  <c:v>1.1430604472252655</c:v>
                </c:pt>
                <c:pt idx="30">
                  <c:v>1.1837759274957971</c:v>
                </c:pt>
                <c:pt idx="31">
                  <c:v>1.2259416813172008</c:v>
                </c:pt>
                <c:pt idx="32">
                  <c:v>1.2696093670110402</c:v>
                </c:pt>
                <c:pt idx="33">
                  <c:v>1.3148324829532474</c:v>
                </c:pt>
                <c:pt idx="34">
                  <c:v>1.3616664331163277</c:v>
                </c:pt>
                <c:pt idx="35">
                  <c:v>1.4101685949461531</c:v>
                </c:pt>
                <c:pt idx="36">
                  <c:v>1.4603983896565091</c:v>
                </c:pt>
                <c:pt idx="37">
                  <c:v>1.5124173550275126</c:v>
                </c:pt>
                <c:pt idx="38">
                  <c:v>1.5662892207970891</c:v>
                </c:pt>
                <c:pt idx="39">
                  <c:v>1.6220799867378699</c:v>
                </c:pt>
              </c:numCache>
            </c:numRef>
          </c:val>
          <c:smooth val="0"/>
          <c:extLst>
            <c:ext xmlns:c16="http://schemas.microsoft.com/office/drawing/2014/chart" uri="{C3380CC4-5D6E-409C-BE32-E72D297353CC}">
              <c16:uniqueId val="{00000002-B3D6-964E-87BC-B0A46868CC6B}"/>
            </c:ext>
          </c:extLst>
        </c:ser>
        <c:dLbls>
          <c:showLegendKey val="0"/>
          <c:showVal val="0"/>
          <c:showCatName val="0"/>
          <c:showSerName val="0"/>
          <c:showPercent val="0"/>
          <c:showBubbleSize val="0"/>
        </c:dLbls>
        <c:marker val="1"/>
        <c:smooth val="0"/>
        <c:axId val="118376704"/>
        <c:axId val="118390784"/>
      </c:lineChart>
      <c:catAx>
        <c:axId val="118376704"/>
        <c:scaling>
          <c:orientation val="minMax"/>
        </c:scaling>
        <c:delete val="0"/>
        <c:axPos val="b"/>
        <c:majorTickMark val="out"/>
        <c:minorTickMark val="none"/>
        <c:tickLblPos val="nextTo"/>
        <c:crossAx val="118390784"/>
        <c:crosses val="autoZero"/>
        <c:auto val="1"/>
        <c:lblAlgn val="ctr"/>
        <c:lblOffset val="100"/>
        <c:noMultiLvlLbl val="0"/>
      </c:catAx>
      <c:valAx>
        <c:axId val="118390784"/>
        <c:scaling>
          <c:orientation val="minMax"/>
          <c:max val="1.2"/>
        </c:scaling>
        <c:delete val="0"/>
        <c:axPos val="l"/>
        <c:majorGridlines/>
        <c:numFmt formatCode="0%" sourceLinked="0"/>
        <c:majorTickMark val="out"/>
        <c:minorTickMark val="none"/>
        <c:tickLblPos val="nextTo"/>
        <c:crossAx val="118376704"/>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0"/>
          <c:order val="0"/>
          <c:marker>
            <c:symbol val="diamond"/>
            <c:size val="3"/>
          </c:marker>
          <c:val>
            <c:numRef>
              <c:f>'ERM value'!$AM$23:$AM$62</c:f>
              <c:numCache>
                <c:formatCode>#,##0</c:formatCode>
                <c:ptCount val="40"/>
                <c:pt idx="0">
                  <c:v>0</c:v>
                </c:pt>
                <c:pt idx="1">
                  <c:v>0</c:v>
                </c:pt>
                <c:pt idx="2">
                  <c:v>0</c:v>
                </c:pt>
                <c:pt idx="3">
                  <c:v>0</c:v>
                </c:pt>
                <c:pt idx="4">
                  <c:v>-145799.30866853386</c:v>
                </c:pt>
                <c:pt idx="5">
                  <c:v>-467141.72906368633</c:v>
                </c:pt>
                <c:pt idx="6">
                  <c:v>-1143983.8034030038</c:v>
                </c:pt>
                <c:pt idx="7">
                  <c:v>-2033459.1814065375</c:v>
                </c:pt>
                <c:pt idx="8">
                  <c:v>-3135131.2369606146</c:v>
                </c:pt>
                <c:pt idx="9">
                  <c:v>-4802237.7698114682</c:v>
                </c:pt>
                <c:pt idx="10">
                  <c:v>-6686824.9333948549</c:v>
                </c:pt>
                <c:pt idx="11">
                  <c:v>-8780571.5145547651</c:v>
                </c:pt>
                <c:pt idx="12">
                  <c:v>-11260442.011942714</c:v>
                </c:pt>
                <c:pt idx="13">
                  <c:v>-14123146.674450798</c:v>
                </c:pt>
                <c:pt idx="14">
                  <c:v>-16990432.52154167</c:v>
                </c:pt>
                <c:pt idx="15">
                  <c:v>-20040281.487468515</c:v>
                </c:pt>
                <c:pt idx="16">
                  <c:v>-23266739.680426177</c:v>
                </c:pt>
                <c:pt idx="17">
                  <c:v>-26101086.539528027</c:v>
                </c:pt>
                <c:pt idx="18">
                  <c:v>-28726384.183652949</c:v>
                </c:pt>
                <c:pt idx="19">
                  <c:v>-30577580.143156219</c:v>
                </c:pt>
                <c:pt idx="20">
                  <c:v>-31469036.871423613</c:v>
                </c:pt>
                <c:pt idx="21">
                  <c:v>-31219429.955478646</c:v>
                </c:pt>
                <c:pt idx="22">
                  <c:v>-30024776.348697882</c:v>
                </c:pt>
                <c:pt idx="23">
                  <c:v>-27895295.684805501</c:v>
                </c:pt>
                <c:pt idx="24">
                  <c:v>-25027879.933570571</c:v>
                </c:pt>
                <c:pt idx="25">
                  <c:v>-21617818.964190468</c:v>
                </c:pt>
                <c:pt idx="26">
                  <c:v>-18410429.712179843</c:v>
                </c:pt>
                <c:pt idx="27">
                  <c:v>-15222867.263765765</c:v>
                </c:pt>
                <c:pt idx="28">
                  <c:v>-12239853.952479118</c:v>
                </c:pt>
                <c:pt idx="29">
                  <c:v>-9460774.4049855303</c:v>
                </c:pt>
                <c:pt idx="30">
                  <c:v>-7065735.4185910448</c:v>
                </c:pt>
                <c:pt idx="31">
                  <c:v>-5231365.4084158782</c:v>
                </c:pt>
                <c:pt idx="32">
                  <c:v>-3591968.2724845964</c:v>
                </c:pt>
                <c:pt idx="33">
                  <c:v>-2503124.5658999234</c:v>
                </c:pt>
                <c:pt idx="34">
                  <c:v>-1601842.9433478315</c:v>
                </c:pt>
                <c:pt idx="35">
                  <c:v>-1062983.8131293044</c:v>
                </c:pt>
                <c:pt idx="36">
                  <c:v>-705361.43471448531</c:v>
                </c:pt>
                <c:pt idx="37">
                  <c:v>-351025.98084918916</c:v>
                </c:pt>
                <c:pt idx="38">
                  <c:v>-174682.95188618993</c:v>
                </c:pt>
                <c:pt idx="39">
                  <c:v>-347702.34860429488</c:v>
                </c:pt>
              </c:numCache>
            </c:numRef>
          </c:val>
          <c:smooth val="0"/>
          <c:extLst>
            <c:ext xmlns:c16="http://schemas.microsoft.com/office/drawing/2014/chart" uri="{C3380CC4-5D6E-409C-BE32-E72D297353CC}">
              <c16:uniqueId val="{00000000-35AA-0344-A1B7-422A4C4F18AC}"/>
            </c:ext>
          </c:extLst>
        </c:ser>
        <c:dLbls>
          <c:showLegendKey val="0"/>
          <c:showVal val="0"/>
          <c:showCatName val="0"/>
          <c:showSerName val="0"/>
          <c:showPercent val="0"/>
          <c:showBubbleSize val="0"/>
        </c:dLbls>
        <c:marker val="1"/>
        <c:smooth val="0"/>
        <c:axId val="118410624"/>
        <c:axId val="120337536"/>
      </c:lineChart>
      <c:catAx>
        <c:axId val="118410624"/>
        <c:scaling>
          <c:orientation val="minMax"/>
        </c:scaling>
        <c:delete val="0"/>
        <c:axPos val="b"/>
        <c:majorTickMark val="out"/>
        <c:minorTickMark val="none"/>
        <c:tickLblPos val="nextTo"/>
        <c:crossAx val="120337536"/>
        <c:crosses val="autoZero"/>
        <c:auto val="1"/>
        <c:lblAlgn val="ctr"/>
        <c:lblOffset val="100"/>
        <c:noMultiLvlLbl val="0"/>
      </c:catAx>
      <c:valAx>
        <c:axId val="120337536"/>
        <c:scaling>
          <c:orientation val="minMax"/>
        </c:scaling>
        <c:delete val="0"/>
        <c:axPos val="l"/>
        <c:majorGridlines/>
        <c:numFmt formatCode="#,##0" sourceLinked="1"/>
        <c:majorTickMark val="out"/>
        <c:minorTickMark val="none"/>
        <c:tickLblPos val="nextTo"/>
        <c:crossAx val="118410624"/>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codeName="Chart1"/>
  <sheetViews>
    <sheetView zoomScale="16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6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5636" cy="6065212"/>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5636" cy="6065212"/>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2" Type="http://schemas.openxmlformats.org/officeDocument/2006/relationships/hyperlink" Target="http://www.justgroupplc.co.uk/~/media/Files/J/JRMS-IR/investor-docs/financial-reports-and-presentations/jrp-group-plc-annual-report-2016-final.pdf" TargetMode="External"/><Relationship Id="rId1" Type="http://schemas.openxmlformats.org/officeDocument/2006/relationships/hyperlink" Target="http://www.bankofengland.co.uk/pra/Documents/publications/cp/2016/cp48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Q62"/>
  <sheetViews>
    <sheetView tabSelected="1" zoomScale="163" zoomScaleNormal="163" workbookViewId="0">
      <pane xSplit="1" ySplit="22" topLeftCell="B34" activePane="bottomRight" state="frozen"/>
      <selection pane="topRight" activeCell="B1" sqref="B1"/>
      <selection pane="bottomLeft" activeCell="A8" sqref="A8"/>
      <selection pane="bottomRight"/>
    </sheetView>
  </sheetViews>
  <sheetFormatPr baseColWidth="10" defaultColWidth="8.83203125" defaultRowHeight="15" x14ac:dyDescent="0.2"/>
  <cols>
    <col min="1" max="1" width="12.5" bestFit="1" customWidth="1"/>
    <col min="2" max="2" width="15" bestFit="1" customWidth="1"/>
    <col min="3" max="3" width="13.5" style="15" customWidth="1"/>
    <col min="4" max="4" width="10.83203125" customWidth="1"/>
    <col min="5" max="5" width="15" bestFit="1" customWidth="1"/>
    <col min="6" max="6" width="9" bestFit="1" customWidth="1"/>
    <col min="9" max="9" width="8.83203125" style="15"/>
    <col min="11" max="11" width="12.33203125" bestFit="1" customWidth="1"/>
    <col min="12" max="13" width="13.5" customWidth="1"/>
    <col min="14" max="15" width="11.5" customWidth="1"/>
    <col min="16" max="16" width="13.5" customWidth="1"/>
    <col min="24" max="24" width="13.1640625" customWidth="1"/>
    <col min="25" max="26" width="13.5" bestFit="1" customWidth="1"/>
    <col min="27" max="27" width="9" bestFit="1" customWidth="1"/>
    <col min="29" max="29" width="12.83203125" bestFit="1" customWidth="1"/>
    <col min="30" max="31" width="11.5" bestFit="1" customWidth="1"/>
    <col min="32" max="32" width="11.5" style="15" customWidth="1"/>
    <col min="35" max="35" width="12.6640625" bestFit="1" customWidth="1"/>
    <col min="39" max="39" width="11.5" bestFit="1" customWidth="1"/>
    <col min="41" max="41" width="16" bestFit="1" customWidth="1"/>
    <col min="42" max="42" width="15.6640625" bestFit="1" customWidth="1"/>
  </cols>
  <sheetData>
    <row r="1" spans="1:34" s="15" customFormat="1" ht="19" x14ac:dyDescent="0.25">
      <c r="A1" s="22" t="s">
        <v>95</v>
      </c>
    </row>
    <row r="2" spans="1:34" s="24" customFormat="1" ht="16" x14ac:dyDescent="0.2">
      <c r="A2" s="23" t="s">
        <v>83</v>
      </c>
    </row>
    <row r="3" spans="1:34" s="24" customFormat="1" x14ac:dyDescent="0.2"/>
    <row r="4" spans="1:34" s="15" customFormat="1" x14ac:dyDescent="0.2">
      <c r="A4" s="24" t="s">
        <v>84</v>
      </c>
      <c r="B4" s="24" t="s">
        <v>85</v>
      </c>
    </row>
    <row r="5" spans="1:34" s="15" customFormat="1" x14ac:dyDescent="0.2">
      <c r="A5" s="15" t="s">
        <v>62</v>
      </c>
      <c r="B5" s="25">
        <v>8100</v>
      </c>
      <c r="AG5" s="7" t="s">
        <v>70</v>
      </c>
    </row>
    <row r="6" spans="1:34" s="15" customFormat="1" x14ac:dyDescent="0.2">
      <c r="A6" s="15" t="s">
        <v>63</v>
      </c>
      <c r="B6" s="25">
        <v>212694</v>
      </c>
      <c r="AG6" s="15" t="s">
        <v>71</v>
      </c>
      <c r="AH6" s="15" t="s">
        <v>72</v>
      </c>
    </row>
    <row r="7" spans="1:34" x14ac:dyDescent="0.2">
      <c r="A7" t="s">
        <v>10</v>
      </c>
      <c r="B7" s="5">
        <f>Face*LTV</f>
        <v>689128560</v>
      </c>
      <c r="C7" s="5">
        <v>5790</v>
      </c>
      <c r="D7" t="s">
        <v>52</v>
      </c>
      <c r="E7" s="12">
        <v>2</v>
      </c>
      <c r="F7">
        <f>V22</f>
        <v>70</v>
      </c>
      <c r="L7" s="15"/>
      <c r="M7" s="15"/>
      <c r="N7" s="15"/>
      <c r="O7" s="15"/>
      <c r="X7" s="5"/>
      <c r="AG7" s="15" t="s">
        <v>73</v>
      </c>
      <c r="AH7" s="15" t="s">
        <v>74</v>
      </c>
    </row>
    <row r="8" spans="1:34" x14ac:dyDescent="0.2">
      <c r="A8" t="s">
        <v>11</v>
      </c>
      <c r="B8" s="5">
        <f>B5*B6</f>
        <v>1722821400</v>
      </c>
      <c r="C8"/>
      <c r="L8" s="15"/>
      <c r="M8" s="15"/>
      <c r="N8" s="15"/>
      <c r="O8" s="15"/>
      <c r="X8" s="5"/>
      <c r="AG8" s="15" t="s">
        <v>75</v>
      </c>
      <c r="AH8" s="15" t="s">
        <v>76</v>
      </c>
    </row>
    <row r="9" spans="1:34" x14ac:dyDescent="0.2">
      <c r="A9" t="s">
        <v>5</v>
      </c>
      <c r="B9" s="26">
        <v>1.4999999999999999E-2</v>
      </c>
      <c r="C9"/>
      <c r="D9" s="15" t="s">
        <v>56</v>
      </c>
      <c r="E9" s="17">
        <f>LN(LTV)/(r_-q-L)</f>
        <v>16.659831488620998</v>
      </c>
      <c r="L9" s="15"/>
      <c r="M9" s="15"/>
      <c r="N9" s="15"/>
      <c r="O9" s="15"/>
      <c r="X9" t="s">
        <v>13</v>
      </c>
      <c r="Z9" t="s">
        <v>3</v>
      </c>
      <c r="AA9" s="4">
        <v>0.02</v>
      </c>
      <c r="AB9" s="4"/>
      <c r="AG9" s="15" t="s">
        <v>77</v>
      </c>
      <c r="AH9" s="15" t="s">
        <v>78</v>
      </c>
    </row>
    <row r="10" spans="1:34" x14ac:dyDescent="0.2">
      <c r="A10" t="s">
        <v>3</v>
      </c>
      <c r="B10" s="26">
        <v>0.02</v>
      </c>
      <c r="C10"/>
      <c r="E10" s="5"/>
      <c r="K10" s="7" t="s">
        <v>17</v>
      </c>
      <c r="L10" s="15"/>
      <c r="M10" s="15"/>
      <c r="N10" s="15"/>
      <c r="O10" s="15"/>
      <c r="X10" s="7" t="s">
        <v>12</v>
      </c>
      <c r="AG10" s="15" t="s">
        <v>79</v>
      </c>
      <c r="AH10" s="15" t="s">
        <v>82</v>
      </c>
    </row>
    <row r="11" spans="1:34" x14ac:dyDescent="0.2">
      <c r="A11" t="s">
        <v>4</v>
      </c>
      <c r="B11" s="27">
        <v>0.4</v>
      </c>
      <c r="C11"/>
      <c r="E11" s="1"/>
      <c r="L11" s="15"/>
      <c r="M11" s="15"/>
      <c r="N11" s="15"/>
      <c r="O11" s="15"/>
      <c r="X11" s="3">
        <f>SUM(X23:X62)</f>
        <v>-0.22535830469918053</v>
      </c>
      <c r="Y11" s="4">
        <f t="shared" ref="Y11:Z11" si="0">SUM(Y23:Y62)</f>
        <v>0.76374117987891688</v>
      </c>
      <c r="Z11" s="3">
        <f t="shared" si="0"/>
        <v>0.53838287517973626</v>
      </c>
      <c r="AG11" s="15" t="s">
        <v>80</v>
      </c>
      <c r="AH11" s="15" t="s">
        <v>81</v>
      </c>
    </row>
    <row r="12" spans="1:34" x14ac:dyDescent="0.2">
      <c r="A12" t="s">
        <v>86</v>
      </c>
      <c r="B12" s="26">
        <v>0.05</v>
      </c>
      <c r="C12" s="29"/>
      <c r="D12" t="s">
        <v>88</v>
      </c>
      <c r="E12" s="30">
        <f>Y12</f>
        <v>1315789648.7566473</v>
      </c>
      <c r="L12" s="15"/>
      <c r="M12" s="15"/>
      <c r="N12" s="15"/>
      <c r="O12" s="15"/>
      <c r="X12" s="14">
        <f>Face*X11</f>
        <v>-388252110.00346875</v>
      </c>
      <c r="Y12" s="17">
        <f>Face*Y11</f>
        <v>1315789648.7566473</v>
      </c>
      <c r="Z12" s="8">
        <f>Face*Z11</f>
        <v>927537538.75317848</v>
      </c>
    </row>
    <row r="13" spans="1:34" x14ac:dyDescent="0.2">
      <c r="A13" t="s">
        <v>87</v>
      </c>
      <c r="B13" s="27">
        <v>0.13</v>
      </c>
      <c r="C13" s="15" t="s">
        <v>59</v>
      </c>
      <c r="D13" t="s">
        <v>89</v>
      </c>
      <c r="E13" s="30">
        <f>-X12</f>
        <v>388252110.00346875</v>
      </c>
      <c r="L13" s="15"/>
      <c r="M13" s="15"/>
      <c r="N13" s="15"/>
      <c r="O13" s="15"/>
    </row>
    <row r="14" spans="1:34" x14ac:dyDescent="0.2">
      <c r="A14" t="s">
        <v>53</v>
      </c>
      <c r="B14" s="13">
        <f>LN(1+IRR(AA22:AA62))</f>
        <v>3.2283963069539255E-2</v>
      </c>
      <c r="C14" s="21"/>
      <c r="D14" s="18" t="s">
        <v>90</v>
      </c>
      <c r="E14" s="31">
        <f>Z12</f>
        <v>927537538.75317848</v>
      </c>
      <c r="L14" s="15"/>
      <c r="M14" s="15"/>
      <c r="N14" s="15"/>
      <c r="O14" s="15"/>
      <c r="AA14" s="4"/>
      <c r="AB14" s="4"/>
    </row>
    <row r="15" spans="1:34" x14ac:dyDescent="0.2">
      <c r="A15" t="s">
        <v>49</v>
      </c>
      <c r="B15" s="13">
        <f>L-B14</f>
        <v>1.7716036930460748E-2</v>
      </c>
      <c r="C15" s="21"/>
      <c r="D15" s="4" t="s">
        <v>92</v>
      </c>
      <c r="E15" s="33">
        <f>E14-B7</f>
        <v>238408978.75317848</v>
      </c>
      <c r="H15" s="17"/>
      <c r="L15" s="15"/>
      <c r="M15" s="15"/>
      <c r="N15" s="15"/>
      <c r="O15" s="15"/>
      <c r="AA15" s="4"/>
      <c r="AB15" s="4"/>
    </row>
    <row r="16" spans="1:34" x14ac:dyDescent="0.2">
      <c r="A16" t="s">
        <v>54</v>
      </c>
      <c r="B16" s="13">
        <f>B14-r_</f>
        <v>1.7283963069539256E-2</v>
      </c>
      <c r="C16" s="13"/>
      <c r="D16" t="s">
        <v>91</v>
      </c>
      <c r="E16" s="32">
        <f>EXP((r_-q)*20)</f>
        <v>0.90483741803595952</v>
      </c>
      <c r="F16" s="14"/>
      <c r="K16" s="1"/>
      <c r="L16" s="15"/>
      <c r="M16" s="15"/>
      <c r="N16" s="15"/>
      <c r="O16" s="15"/>
      <c r="AA16" s="4"/>
      <c r="AB16" s="4"/>
    </row>
    <row r="17" spans="1:39" x14ac:dyDescent="0.2">
      <c r="A17" t="s">
        <v>50</v>
      </c>
      <c r="B17" s="13"/>
      <c r="C17" s="13"/>
      <c r="D17" t="s">
        <v>19</v>
      </c>
      <c r="E17" s="14">
        <f>E16*Average_value</f>
        <v>192453.48979174037</v>
      </c>
      <c r="K17" s="4"/>
      <c r="L17" s="15"/>
      <c r="M17" s="15"/>
      <c r="N17" s="15"/>
      <c r="O17" s="15"/>
      <c r="Z17" s="3">
        <f>SUM(Z23:Z62)</f>
        <v>0.53838287517973626</v>
      </c>
      <c r="AA17" s="4"/>
      <c r="AB17" s="4"/>
    </row>
    <row r="18" spans="1:39" x14ac:dyDescent="0.2">
      <c r="A18" s="15" t="s">
        <v>57</v>
      </c>
      <c r="B18" s="3"/>
      <c r="C18" s="3"/>
      <c r="D18" t="s">
        <v>94</v>
      </c>
      <c r="E18">
        <f>1*AI38</f>
        <v>107</v>
      </c>
      <c r="L18" s="15"/>
      <c r="M18" s="15"/>
      <c r="N18" s="15"/>
      <c r="O18" s="15"/>
      <c r="Q18" t="s">
        <v>14</v>
      </c>
      <c r="AA18" t="s">
        <v>47</v>
      </c>
    </row>
    <row r="19" spans="1:39" s="15" customFormat="1" x14ac:dyDescent="0.2">
      <c r="A19" s="15" t="s">
        <v>60</v>
      </c>
      <c r="B19" s="28">
        <f>NORMSINV(1/200)</f>
        <v>-2.5758293035488999</v>
      </c>
      <c r="C19" s="16">
        <f>NORMSINV(1/200)</f>
        <v>-2.5758293035488999</v>
      </c>
      <c r="AM19" s="15" t="s">
        <v>69</v>
      </c>
    </row>
    <row r="20" spans="1:39" s="15" customFormat="1" x14ac:dyDescent="0.2">
      <c r="A20" s="15" t="s">
        <v>58</v>
      </c>
      <c r="B20" s="28">
        <v>0.5</v>
      </c>
      <c r="C20" s="3"/>
      <c r="AC20" s="15" t="s">
        <v>64</v>
      </c>
      <c r="AM20" s="5">
        <f>SUM(AM23:AM62)</f>
        <v>-443505198.9489302</v>
      </c>
    </row>
    <row r="21" spans="1:39" s="15" customFormat="1" x14ac:dyDescent="0.2">
      <c r="A21" s="15" t="s">
        <v>61</v>
      </c>
      <c r="B21" s="28">
        <v>0.8</v>
      </c>
      <c r="C21" s="3"/>
    </row>
    <row r="22" spans="1:39" x14ac:dyDescent="0.2">
      <c r="B22" s="15" t="s">
        <v>3</v>
      </c>
      <c r="C22" s="15" t="s">
        <v>0</v>
      </c>
      <c r="D22" t="s">
        <v>18</v>
      </c>
      <c r="E22" t="s">
        <v>19</v>
      </c>
      <c r="F22" t="s">
        <v>20</v>
      </c>
      <c r="G22" t="s">
        <v>1</v>
      </c>
      <c r="H22" t="s">
        <v>2</v>
      </c>
      <c r="I22" t="s">
        <v>46</v>
      </c>
      <c r="J22" t="s">
        <v>6</v>
      </c>
      <c r="K22" t="s">
        <v>7</v>
      </c>
      <c r="L22" t="s">
        <v>9</v>
      </c>
      <c r="M22" t="s">
        <v>8</v>
      </c>
      <c r="N22" t="s">
        <v>51</v>
      </c>
      <c r="O22" t="s">
        <v>48</v>
      </c>
      <c r="Q22">
        <v>60</v>
      </c>
      <c r="R22">
        <v>70</v>
      </c>
      <c r="S22">
        <v>80</v>
      </c>
      <c r="T22" t="s">
        <v>93</v>
      </c>
      <c r="U22" t="s">
        <v>55</v>
      </c>
      <c r="V22" s="6">
        <f t="shared" ref="V22:V62" si="1">INDEX(Q22:U22,1,E$7)</f>
        <v>70</v>
      </c>
      <c r="X22" t="s">
        <v>13</v>
      </c>
      <c r="Y22" t="s">
        <v>15</v>
      </c>
      <c r="Z22" t="s">
        <v>16</v>
      </c>
      <c r="AA22" s="2">
        <f>-LTV</f>
        <v>-0.4</v>
      </c>
      <c r="AB22" s="2"/>
      <c r="AC22" s="15" t="s">
        <v>13</v>
      </c>
      <c r="AD22" s="15" t="s">
        <v>15</v>
      </c>
      <c r="AE22" s="15" t="s">
        <v>16</v>
      </c>
      <c r="AG22" s="15" t="s">
        <v>62</v>
      </c>
      <c r="AH22" s="15" t="s">
        <v>65</v>
      </c>
      <c r="AI22" s="15" t="s">
        <v>66</v>
      </c>
      <c r="AK22" s="15" t="s">
        <v>68</v>
      </c>
      <c r="AL22" s="15" t="s">
        <v>67</v>
      </c>
      <c r="AM22" s="15" t="s">
        <v>60</v>
      </c>
    </row>
    <row r="23" spans="1:39" x14ac:dyDescent="0.2">
      <c r="A23">
        <f>A22+1</f>
        <v>1</v>
      </c>
      <c r="B23" s="4">
        <f t="shared" ref="B23:B62" si="2">MAX($F$7+A23-70,0)*dilap+q</f>
        <v>0.02</v>
      </c>
      <c r="C23" s="4">
        <f>V*A23^(H-0.5)</f>
        <v>0.13</v>
      </c>
      <c r="D23" s="4">
        <f>EXP(-B23*A23)</f>
        <v>0.98019867330675525</v>
      </c>
      <c r="E23" s="4">
        <f t="shared" ref="E23:E62" si="3">D23*EXP(r_*A23)</f>
        <v>0.99501247919268221</v>
      </c>
      <c r="F23" s="3">
        <f t="shared" ref="F23:F62" si="4">LTV*EXP(L*$A23)</f>
        <v>0.42050843855040965</v>
      </c>
      <c r="G23" s="1">
        <f>(LN(E23/F23)+C23^2/2*A23)/(C23*SQRT(A23))</f>
        <v>6.6903133221088824</v>
      </c>
      <c r="H23" s="1">
        <f>G23-C23*SQRT(A23)</f>
        <v>6.5603133221088825</v>
      </c>
      <c r="I23" s="4">
        <f t="shared" ref="I23:I62" si="5">r_</f>
        <v>1.4999999999999999E-2</v>
      </c>
      <c r="J23" s="20">
        <f t="shared" ref="J23:J62" si="6">EXP(-I23*$A23)</f>
        <v>0.98511193960306265</v>
      </c>
      <c r="K23" s="4">
        <f t="shared" ref="K23:K62" si="7">-J23*(F23*NORMSDIST(-H23)-E23*NORMSDIST(-G23))</f>
        <v>-2.073034583075618E-13</v>
      </c>
      <c r="L23" s="4">
        <f t="shared" ref="L23:L62" si="8">J23*F23</f>
        <v>0.41424788351984931</v>
      </c>
      <c r="M23" s="4">
        <f>L23+K23+M$17</f>
        <v>0.41424788351964204</v>
      </c>
      <c r="N23" s="4">
        <f t="shared" ref="N23:N62" si="9">LN(M23/J23/LTV)/$A23</f>
        <v>4.9999999999499493E-2</v>
      </c>
      <c r="O23" s="4">
        <f>$B$14</f>
        <v>3.2283963069539255E-2</v>
      </c>
      <c r="P23" s="4"/>
      <c r="Q23" s="3">
        <v>4.7999999999999996E-3</v>
      </c>
      <c r="R23" s="3">
        <v>1.29E-2</v>
      </c>
      <c r="S23" s="3">
        <v>4.1099999999999998E-2</v>
      </c>
      <c r="T23" s="3">
        <v>1.8100000000000002E-2</v>
      </c>
      <c r="U23" s="3">
        <f>1/40</f>
        <v>2.5000000000000001E-2</v>
      </c>
      <c r="V23" s="3">
        <f t="shared" si="1"/>
        <v>1.29E-2</v>
      </c>
      <c r="X23" s="3">
        <f t="shared" ref="X23:X62" si="10">$V23*K23</f>
        <v>-2.6742146121675473E-15</v>
      </c>
      <c r="Y23" s="3">
        <f t="shared" ref="Y23:Y62" si="11">$V23*L23</f>
        <v>5.3437976974060565E-3</v>
      </c>
      <c r="Z23" s="3">
        <f t="shared" ref="Z23:Z62" si="12">$V23*M23</f>
        <v>5.3437976974033824E-3</v>
      </c>
      <c r="AA23" s="19">
        <f t="shared" ref="AA23:AA62" si="13">Z23/J23</f>
        <v>5.4245588572975701E-3</v>
      </c>
      <c r="AB23" s="3"/>
      <c r="AC23" s="5">
        <f t="shared" ref="AC23:AC62" si="14">X23*Face</f>
        <v>-4.6071941620349506E-6</v>
      </c>
      <c r="AD23" s="5">
        <f t="shared" ref="AD23:AD62" si="15">Y23*Face</f>
        <v>9206409.0303618778</v>
      </c>
      <c r="AE23" s="5">
        <f t="shared" ref="AE23:AE62" si="16">Z23*Face</f>
        <v>9206409.0303572714</v>
      </c>
      <c r="AF23" s="5"/>
      <c r="AG23">
        <f t="shared" ref="AG23:AG62" si="17">ROUND(Properties*$V23,0)</f>
        <v>104</v>
      </c>
      <c r="AH23" s="4">
        <f>J23*NORMSDIST(-G23)</f>
        <v>1.0968890154317478E-11</v>
      </c>
      <c r="AI23" s="5">
        <f t="shared" ref="AI23:AI62" si="18">ROUND(Properties*$V23*AH23,0)</f>
        <v>0</v>
      </c>
      <c r="AK23" s="5">
        <f t="shared" ref="AK23:AK62" si="19">E23*Average_value</f>
        <v>211633.18424940834</v>
      </c>
      <c r="AL23" s="5">
        <f t="shared" ref="AL23:AL62" si="20">AK23*EXP(Stress*V*A23^Hstress)</f>
        <v>151410.80468299414</v>
      </c>
      <c r="AM23" s="5">
        <f>(AL23-AK23)*AI23</f>
        <v>0</v>
      </c>
    </row>
    <row r="24" spans="1:39" x14ac:dyDescent="0.2">
      <c r="A24">
        <f t="shared" ref="A24:A62" si="21">A23+1</f>
        <v>2</v>
      </c>
      <c r="B24" s="4">
        <f t="shared" si="2"/>
        <v>0.02</v>
      </c>
      <c r="C24" s="4">
        <f t="shared" ref="C24:C62" si="22">V*A24^(H-0.5)</f>
        <v>0.13</v>
      </c>
      <c r="D24" s="4">
        <f t="shared" ref="D24:D62" si="23">EXP(-B24*A24)</f>
        <v>0.96078943915232318</v>
      </c>
      <c r="E24" s="4">
        <f t="shared" si="3"/>
        <v>0.99004983374916811</v>
      </c>
      <c r="F24" s="3">
        <f t="shared" si="4"/>
        <v>0.44206836723025911</v>
      </c>
      <c r="G24" s="16">
        <f t="shared" ref="G24:G62" si="24">(LN(E24/F24)+C24^2/2*A24)/(C24*SQRT(A24))</f>
        <v>4.4775672978317855</v>
      </c>
      <c r="H24" s="16">
        <f t="shared" ref="H24:H62" si="25">G24-C24*SQRT(A24)</f>
        <v>4.2937195347232828</v>
      </c>
      <c r="I24" s="4">
        <f t="shared" si="5"/>
        <v>1.4999999999999999E-2</v>
      </c>
      <c r="J24" s="20">
        <f t="shared" si="6"/>
        <v>0.97044553354850815</v>
      </c>
      <c r="K24" s="4">
        <f t="shared" si="7"/>
        <v>-1.4198352495537712E-7</v>
      </c>
      <c r="L24" s="4">
        <f t="shared" si="8"/>
        <v>0.42900327250168663</v>
      </c>
      <c r="M24" s="4">
        <f t="shared" ref="M24:M62" si="26">L24+K24+M$17</f>
        <v>0.42900313051816169</v>
      </c>
      <c r="N24" s="4">
        <f t="shared" si="9"/>
        <v>4.9999834519271154E-2</v>
      </c>
      <c r="O24" s="4">
        <f t="shared" ref="O24:O62" si="27">$B$14</f>
        <v>3.2283963069539255E-2</v>
      </c>
      <c r="P24" s="4"/>
      <c r="Q24" s="3">
        <v>5.0000000000000001E-3</v>
      </c>
      <c r="R24" s="3">
        <v>1.4E-2</v>
      </c>
      <c r="S24" s="3">
        <v>4.4499999999999998E-2</v>
      </c>
      <c r="T24" s="3">
        <v>1.9199999999999998E-2</v>
      </c>
      <c r="U24" s="3">
        <f t="shared" ref="U24:U62" si="28">1/40</f>
        <v>2.5000000000000001E-2</v>
      </c>
      <c r="V24" s="3">
        <f t="shared" si="1"/>
        <v>1.4E-2</v>
      </c>
      <c r="X24" s="3">
        <f t="shared" si="10"/>
        <v>-1.9877693493752795E-9</v>
      </c>
      <c r="Y24" s="3">
        <f t="shared" si="11"/>
        <v>6.0060458150236126E-3</v>
      </c>
      <c r="Z24" s="3">
        <f t="shared" si="12"/>
        <v>6.0060438272542642E-3</v>
      </c>
      <c r="AA24" s="19">
        <f t="shared" si="13"/>
        <v>6.1889550929176895E-3</v>
      </c>
      <c r="AB24" s="3"/>
      <c r="AC24" s="5">
        <f t="shared" si="14"/>
        <v>-3.4245715733678082</v>
      </c>
      <c r="AD24" s="5">
        <f t="shared" si="15"/>
        <v>10347344.259503121</v>
      </c>
      <c r="AE24" s="5">
        <f t="shared" si="16"/>
        <v>10347340.834931549</v>
      </c>
      <c r="AF24" s="5"/>
      <c r="AG24" s="15">
        <f t="shared" si="17"/>
        <v>113</v>
      </c>
      <c r="AH24" s="4">
        <f t="shared" ref="AH24:AH62" si="29">J24*NORMSDIST(-G24)</f>
        <v>3.6633557807935463E-6</v>
      </c>
      <c r="AI24" s="5">
        <f t="shared" si="18"/>
        <v>0</v>
      </c>
      <c r="AK24" s="5">
        <f t="shared" si="19"/>
        <v>210577.65933944556</v>
      </c>
      <c r="AL24" s="5">
        <f t="shared" si="20"/>
        <v>117546.40640756661</v>
      </c>
      <c r="AM24" s="5">
        <f t="shared" ref="AM24:AM62" si="30">(AL24-AK24)*AI24</f>
        <v>0</v>
      </c>
    </row>
    <row r="25" spans="1:39" x14ac:dyDescent="0.2">
      <c r="A25">
        <f t="shared" si="21"/>
        <v>3</v>
      </c>
      <c r="B25" s="4">
        <f t="shared" si="2"/>
        <v>0.02</v>
      </c>
      <c r="C25" s="4">
        <f t="shared" si="22"/>
        <v>0.13</v>
      </c>
      <c r="D25" s="4">
        <f t="shared" si="23"/>
        <v>0.94176453358424872</v>
      </c>
      <c r="E25" s="4">
        <f t="shared" si="3"/>
        <v>0.98511193960306265</v>
      </c>
      <c r="F25" s="3">
        <f t="shared" si="4"/>
        <v>0.46473369709131324</v>
      </c>
      <c r="G25" s="16">
        <f t="shared" si="24"/>
        <v>3.4491825816243953</v>
      </c>
      <c r="H25" s="16">
        <f t="shared" si="25"/>
        <v>3.224015976640441</v>
      </c>
      <c r="I25" s="4">
        <f t="shared" si="5"/>
        <v>1.4999999999999999E-2</v>
      </c>
      <c r="J25" s="20">
        <f t="shared" si="6"/>
        <v>0.95599748183309996</v>
      </c>
      <c r="K25" s="4">
        <f t="shared" si="7"/>
        <v>-1.6031061548467413E-5</v>
      </c>
      <c r="L25" s="4">
        <f t="shared" si="8"/>
        <v>0.44428424414228213</v>
      </c>
      <c r="M25" s="4">
        <f t="shared" si="26"/>
        <v>0.44426821308073366</v>
      </c>
      <c r="N25" s="4">
        <f t="shared" si="9"/>
        <v>4.9987972151469579E-2</v>
      </c>
      <c r="O25" s="4">
        <f t="shared" si="27"/>
        <v>3.2283963069539255E-2</v>
      </c>
      <c r="P25" s="4"/>
      <c r="Q25" s="3">
        <v>5.3E-3</v>
      </c>
      <c r="R25" s="3">
        <v>1.52E-2</v>
      </c>
      <c r="S25" s="3">
        <v>4.7800000000000002E-2</v>
      </c>
      <c r="T25" s="3">
        <v>2.0400000000000001E-2</v>
      </c>
      <c r="U25" s="3">
        <f t="shared" si="28"/>
        <v>2.5000000000000001E-2</v>
      </c>
      <c r="V25" s="3">
        <f t="shared" si="1"/>
        <v>1.52E-2</v>
      </c>
      <c r="X25" s="3">
        <f t="shared" si="10"/>
        <v>-2.4367213553670467E-7</v>
      </c>
      <c r="Y25" s="3">
        <f t="shared" si="11"/>
        <v>6.7531205109626884E-3</v>
      </c>
      <c r="Z25" s="3">
        <f t="shared" si="12"/>
        <v>6.7528768388271515E-3</v>
      </c>
      <c r="AA25" s="19">
        <f t="shared" si="13"/>
        <v>7.0636973079455066E-3</v>
      </c>
      <c r="AB25" s="3"/>
      <c r="AC25" s="5">
        <f t="shared" si="14"/>
        <v>-419.80356968633527</v>
      </c>
      <c r="AD25" s="5">
        <f t="shared" si="15"/>
        <v>11634420.533065455</v>
      </c>
      <c r="AE25" s="5">
        <f t="shared" si="16"/>
        <v>11634000.729495768</v>
      </c>
      <c r="AF25" s="5"/>
      <c r="AG25" s="15">
        <f t="shared" si="17"/>
        <v>123</v>
      </c>
      <c r="AH25" s="4">
        <f t="shared" si="29"/>
        <v>2.6877217668265079E-4</v>
      </c>
      <c r="AI25" s="5">
        <f t="shared" si="18"/>
        <v>0</v>
      </c>
      <c r="AK25" s="5">
        <f t="shared" si="19"/>
        <v>209527.3988819338</v>
      </c>
      <c r="AL25" s="5">
        <f t="shared" si="20"/>
        <v>93544.912659166512</v>
      </c>
      <c r="AM25" s="5">
        <f t="shared" si="30"/>
        <v>0</v>
      </c>
    </row>
    <row r="26" spans="1:39" x14ac:dyDescent="0.2">
      <c r="A26">
        <f t="shared" si="21"/>
        <v>4</v>
      </c>
      <c r="B26" s="4">
        <f t="shared" si="2"/>
        <v>0.02</v>
      </c>
      <c r="C26" s="4">
        <f t="shared" si="22"/>
        <v>0.13</v>
      </c>
      <c r="D26" s="4">
        <f t="shared" si="23"/>
        <v>0.92311634638663576</v>
      </c>
      <c r="E26" s="4">
        <f t="shared" si="3"/>
        <v>0.98019867330675525</v>
      </c>
      <c r="F26" s="3">
        <f t="shared" si="4"/>
        <v>0.48856110326406799</v>
      </c>
      <c r="G26" s="16">
        <f t="shared" si="24"/>
        <v>2.8080412764390577</v>
      </c>
      <c r="H26" s="16">
        <f t="shared" si="25"/>
        <v>2.5480412764390579</v>
      </c>
      <c r="I26" s="4">
        <f t="shared" si="5"/>
        <v>1.4999999999999999E-2</v>
      </c>
      <c r="J26" s="20">
        <f t="shared" si="6"/>
        <v>0.94176453358424872</v>
      </c>
      <c r="K26" s="4">
        <f t="shared" si="7"/>
        <v>-1.9159215518043432E-4</v>
      </c>
      <c r="L26" s="4">
        <f t="shared" si="8"/>
        <v>0.46010951954289098</v>
      </c>
      <c r="M26" s="4">
        <f t="shared" si="26"/>
        <v>0.45991792738771053</v>
      </c>
      <c r="N26" s="4">
        <f t="shared" si="9"/>
        <v>4.989587693356911E-2</v>
      </c>
      <c r="O26" s="4">
        <f t="shared" si="27"/>
        <v>3.2283963069539255E-2</v>
      </c>
      <c r="P26" s="4"/>
      <c r="Q26" s="3">
        <v>5.7000000000000002E-3</v>
      </c>
      <c r="R26" s="3">
        <v>1.6400000000000001E-2</v>
      </c>
      <c r="S26" s="3">
        <v>5.1299999999999998E-2</v>
      </c>
      <c r="T26" s="3">
        <v>2.1600000000000001E-2</v>
      </c>
      <c r="U26" s="3">
        <f t="shared" si="28"/>
        <v>2.5000000000000001E-2</v>
      </c>
      <c r="V26" s="3">
        <f t="shared" si="1"/>
        <v>1.6400000000000001E-2</v>
      </c>
      <c r="X26" s="3">
        <f t="shared" si="10"/>
        <v>-3.142111344959123E-6</v>
      </c>
      <c r="Y26" s="3">
        <f t="shared" si="11"/>
        <v>7.5457961205034124E-3</v>
      </c>
      <c r="Z26" s="3">
        <f t="shared" si="12"/>
        <v>7.5426540091584537E-3</v>
      </c>
      <c r="AA26" s="19">
        <f t="shared" si="13"/>
        <v>8.0090656848713238E-3</v>
      </c>
      <c r="AB26" s="3"/>
      <c r="AC26" s="5">
        <f t="shared" si="14"/>
        <v>-5413.2966662783592</v>
      </c>
      <c r="AD26" s="5">
        <f t="shared" si="15"/>
        <v>13000059.036440257</v>
      </c>
      <c r="AE26" s="5">
        <f t="shared" si="16"/>
        <v>12994645.739773979</v>
      </c>
      <c r="AF26" s="5"/>
      <c r="AG26" s="15">
        <f t="shared" si="17"/>
        <v>133</v>
      </c>
      <c r="AH26" s="4">
        <f t="shared" si="29"/>
        <v>2.3470579278900843E-3</v>
      </c>
      <c r="AI26" s="5">
        <f t="shared" si="18"/>
        <v>0</v>
      </c>
      <c r="AK26" s="5">
        <f t="shared" si="19"/>
        <v>208482.37662030701</v>
      </c>
      <c r="AL26" s="5">
        <f t="shared" si="20"/>
        <v>75547.035921358169</v>
      </c>
      <c r="AM26" s="5">
        <f t="shared" si="30"/>
        <v>0</v>
      </c>
    </row>
    <row r="27" spans="1:39" x14ac:dyDescent="0.2">
      <c r="A27">
        <f t="shared" si="21"/>
        <v>5</v>
      </c>
      <c r="B27" s="4">
        <f t="shared" si="2"/>
        <v>0.02</v>
      </c>
      <c r="C27" s="4">
        <f t="shared" si="22"/>
        <v>0.13</v>
      </c>
      <c r="D27" s="4">
        <f t="shared" si="23"/>
        <v>0.90483741803595952</v>
      </c>
      <c r="E27" s="4">
        <f t="shared" si="3"/>
        <v>0.97530991202833262</v>
      </c>
      <c r="F27" s="3">
        <f t="shared" si="4"/>
        <v>0.51361016667509662</v>
      </c>
      <c r="G27" s="16">
        <f t="shared" si="24"/>
        <v>2.3514516028624119</v>
      </c>
      <c r="H27" s="16">
        <f t="shared" si="25"/>
        <v>2.0607627657874392</v>
      </c>
      <c r="I27" s="4">
        <f t="shared" si="5"/>
        <v>1.4999999999999999E-2</v>
      </c>
      <c r="J27" s="20">
        <f t="shared" si="6"/>
        <v>0.92774348632855286</v>
      </c>
      <c r="K27" s="4">
        <f t="shared" si="7"/>
        <v>-9.0893749918626412E-4</v>
      </c>
      <c r="L27" s="4">
        <f t="shared" si="8"/>
        <v>0.47649848664494326</v>
      </c>
      <c r="M27" s="4">
        <f t="shared" si="26"/>
        <v>0.47558954914575702</v>
      </c>
      <c r="N27" s="4">
        <f t="shared" si="9"/>
        <v>4.9618128685098017E-2</v>
      </c>
      <c r="O27" s="4">
        <f t="shared" si="27"/>
        <v>3.2283963069539255E-2</v>
      </c>
      <c r="P27" s="4"/>
      <c r="Q27" s="3">
        <v>6.1999999999999998E-3</v>
      </c>
      <c r="R27" s="3">
        <v>1.7899999999999999E-2</v>
      </c>
      <c r="S27" s="3">
        <v>5.4800000000000001E-2</v>
      </c>
      <c r="T27" s="3">
        <v>2.2800000000000001E-2</v>
      </c>
      <c r="U27" s="3">
        <f t="shared" si="28"/>
        <v>2.5000000000000001E-2</v>
      </c>
      <c r="V27" s="3">
        <f t="shared" si="1"/>
        <v>1.7899999999999999E-2</v>
      </c>
      <c r="X27" s="3">
        <f t="shared" si="10"/>
        <v>-1.6269981235434125E-5</v>
      </c>
      <c r="Y27" s="3">
        <f t="shared" si="11"/>
        <v>8.5293229109444837E-3</v>
      </c>
      <c r="Z27" s="3">
        <f t="shared" si="12"/>
        <v>8.5130529297090494E-3</v>
      </c>
      <c r="AA27" s="19">
        <f t="shared" si="13"/>
        <v>9.1760848285753639E-3</v>
      </c>
      <c r="AB27" s="3"/>
      <c r="AC27" s="5">
        <f t="shared" si="14"/>
        <v>-28030.271850004348</v>
      </c>
      <c r="AD27" s="5">
        <f t="shared" si="15"/>
        <v>14694500.038485451</v>
      </c>
      <c r="AE27" s="5">
        <f t="shared" si="16"/>
        <v>14666469.766635446</v>
      </c>
      <c r="AF27" s="5"/>
      <c r="AG27" s="15">
        <f t="shared" si="17"/>
        <v>145</v>
      </c>
      <c r="AH27" s="4">
        <f t="shared" si="29"/>
        <v>8.6745510328593775E-3</v>
      </c>
      <c r="AI27" s="5">
        <f t="shared" si="18"/>
        <v>1</v>
      </c>
      <c r="AK27" s="5">
        <f t="shared" si="19"/>
        <v>207442.56642895419</v>
      </c>
      <c r="AL27" s="5">
        <f t="shared" si="20"/>
        <v>61643.257760420311</v>
      </c>
      <c r="AM27" s="5">
        <f t="shared" si="30"/>
        <v>-145799.30866853386</v>
      </c>
    </row>
    <row r="28" spans="1:39" x14ac:dyDescent="0.2">
      <c r="A28">
        <f t="shared" si="21"/>
        <v>6</v>
      </c>
      <c r="B28" s="4">
        <f t="shared" si="2"/>
        <v>0.02</v>
      </c>
      <c r="C28" s="4">
        <f t="shared" si="22"/>
        <v>0.13</v>
      </c>
      <c r="D28" s="4">
        <f t="shared" si="23"/>
        <v>0.88692043671715748</v>
      </c>
      <c r="E28" s="4">
        <f t="shared" si="3"/>
        <v>0.97044553354850815</v>
      </c>
      <c r="F28" s="3">
        <f t="shared" si="4"/>
        <v>0.53994352303040127</v>
      </c>
      <c r="G28" s="16">
        <f t="shared" si="24"/>
        <v>2.0003875179149899</v>
      </c>
      <c r="H28" s="16">
        <f t="shared" si="25"/>
        <v>1.6819538513531769</v>
      </c>
      <c r="I28" s="4">
        <f t="shared" si="5"/>
        <v>1.4999999999999999E-2</v>
      </c>
      <c r="J28" s="20">
        <f t="shared" si="6"/>
        <v>0.91393118527122819</v>
      </c>
      <c r="K28" s="4">
        <f t="shared" si="7"/>
        <v>-2.6832298404059715E-3</v>
      </c>
      <c r="L28" s="4">
        <f t="shared" si="8"/>
        <v>0.49347122398269733</v>
      </c>
      <c r="M28" s="4">
        <f t="shared" si="26"/>
        <v>0.49078799414229135</v>
      </c>
      <c r="N28" s="4">
        <f t="shared" si="9"/>
        <v>4.9091283936134468E-2</v>
      </c>
      <c r="O28" s="4">
        <f t="shared" si="27"/>
        <v>3.2283963069539255E-2</v>
      </c>
      <c r="P28" s="4"/>
      <c r="Q28" s="3">
        <v>6.7000000000000002E-3</v>
      </c>
      <c r="R28" s="3">
        <v>1.95E-2</v>
      </c>
      <c r="S28" s="3">
        <v>5.8099999999999999E-2</v>
      </c>
      <c r="T28" s="3">
        <v>2.4199999999999999E-2</v>
      </c>
      <c r="U28" s="3">
        <f t="shared" si="28"/>
        <v>2.5000000000000001E-2</v>
      </c>
      <c r="V28" s="3">
        <f t="shared" si="1"/>
        <v>1.95E-2</v>
      </c>
      <c r="X28" s="3">
        <f t="shared" si="10"/>
        <v>-5.2322981887916444E-5</v>
      </c>
      <c r="Y28" s="3">
        <f t="shared" si="11"/>
        <v>9.6226888676625971E-3</v>
      </c>
      <c r="Z28" s="3">
        <f t="shared" si="12"/>
        <v>9.5703658857746818E-3</v>
      </c>
      <c r="AA28" s="19">
        <f t="shared" si="13"/>
        <v>1.0471648237864294E-2</v>
      </c>
      <c r="AB28" s="3"/>
      <c r="AC28" s="5">
        <f t="shared" si="14"/>
        <v>-90143.152908314849</v>
      </c>
      <c r="AD28" s="5">
        <f t="shared" si="15"/>
        <v>16578174.30675089</v>
      </c>
      <c r="AE28" s="5">
        <f t="shared" si="16"/>
        <v>16488031.153842578</v>
      </c>
      <c r="AF28" s="5"/>
      <c r="AG28" s="15">
        <f t="shared" si="17"/>
        <v>158</v>
      </c>
      <c r="AH28" s="4">
        <f t="shared" si="29"/>
        <v>2.0772940770184659E-2</v>
      </c>
      <c r="AI28" s="5">
        <f t="shared" si="18"/>
        <v>3</v>
      </c>
      <c r="AK28" s="5">
        <f t="shared" si="19"/>
        <v>206407.94231256639</v>
      </c>
      <c r="AL28" s="5">
        <f t="shared" si="20"/>
        <v>50694.032624670945</v>
      </c>
      <c r="AM28" s="5">
        <f t="shared" si="30"/>
        <v>-467141.72906368633</v>
      </c>
    </row>
    <row r="29" spans="1:39" x14ac:dyDescent="0.2">
      <c r="A29">
        <f t="shared" si="21"/>
        <v>7</v>
      </c>
      <c r="B29" s="4">
        <f t="shared" si="2"/>
        <v>0.02</v>
      </c>
      <c r="C29" s="4">
        <f t="shared" si="22"/>
        <v>0.13</v>
      </c>
      <c r="D29" s="4">
        <f t="shared" si="23"/>
        <v>0.86935823539880586</v>
      </c>
      <c r="E29" s="4">
        <f t="shared" si="3"/>
        <v>0.96560541625756646</v>
      </c>
      <c r="F29" s="3">
        <f t="shared" si="4"/>
        <v>0.56762701943730298</v>
      </c>
      <c r="G29" s="16">
        <f t="shared" si="24"/>
        <v>1.7166586158922876</v>
      </c>
      <c r="H29" s="16">
        <f t="shared" si="25"/>
        <v>1.3727109454538908</v>
      </c>
      <c r="I29" s="4">
        <f t="shared" si="5"/>
        <v>1.4999999999999999E-2</v>
      </c>
      <c r="J29" s="20">
        <f t="shared" si="6"/>
        <v>0.90032452258626561</v>
      </c>
      <c r="K29" s="4">
        <f t="shared" si="7"/>
        <v>-5.9983374508159057E-3</v>
      </c>
      <c r="L29" s="4">
        <f t="shared" si="8"/>
        <v>0.51104852528195477</v>
      </c>
      <c r="M29" s="4">
        <f t="shared" si="26"/>
        <v>0.50505018783113886</v>
      </c>
      <c r="N29" s="4">
        <f t="shared" si="9"/>
        <v>4.8313322724738421E-2</v>
      </c>
      <c r="O29" s="4">
        <f t="shared" si="27"/>
        <v>3.2283963069539255E-2</v>
      </c>
      <c r="P29" s="4"/>
      <c r="Q29" s="3">
        <v>7.3000000000000001E-3</v>
      </c>
      <c r="R29" s="3">
        <v>2.1399999999999999E-2</v>
      </c>
      <c r="S29" s="3">
        <v>6.1100000000000002E-2</v>
      </c>
      <c r="T29" s="3">
        <v>2.5499999999999998E-2</v>
      </c>
      <c r="U29" s="3">
        <f t="shared" si="28"/>
        <v>2.5000000000000001E-2</v>
      </c>
      <c r="V29" s="3">
        <f t="shared" si="1"/>
        <v>2.1399999999999999E-2</v>
      </c>
      <c r="X29" s="3">
        <f t="shared" si="10"/>
        <v>-1.2836442144746038E-4</v>
      </c>
      <c r="Y29" s="3">
        <f t="shared" si="11"/>
        <v>1.0936438441033831E-2</v>
      </c>
      <c r="Z29" s="3">
        <f t="shared" si="12"/>
        <v>1.0808074019586372E-2</v>
      </c>
      <c r="AA29" s="19">
        <f t="shared" si="13"/>
        <v>1.2004642491064419E-2</v>
      </c>
      <c r="AB29" s="3"/>
      <c r="AC29" s="5">
        <f t="shared" si="14"/>
        <v>-221148.97226830371</v>
      </c>
      <c r="AD29" s="5">
        <f t="shared" si="15"/>
        <v>18841530.18599572</v>
      </c>
      <c r="AE29" s="5">
        <f t="shared" si="16"/>
        <v>18620381.213727418</v>
      </c>
      <c r="AF29" s="5"/>
      <c r="AG29" s="15">
        <f t="shared" si="17"/>
        <v>173</v>
      </c>
      <c r="AH29" s="4">
        <f t="shared" si="29"/>
        <v>3.8732665808680462E-2</v>
      </c>
      <c r="AI29" s="5">
        <f t="shared" si="18"/>
        <v>7</v>
      </c>
      <c r="AK29" s="5">
        <f t="shared" si="19"/>
        <v>205378.47840548685</v>
      </c>
      <c r="AL29" s="5">
        <f t="shared" si="20"/>
        <v>41952.220776486305</v>
      </c>
      <c r="AM29" s="5">
        <f t="shared" si="30"/>
        <v>-1143983.8034030038</v>
      </c>
    </row>
    <row r="30" spans="1:39" x14ac:dyDescent="0.2">
      <c r="A30">
        <f t="shared" si="21"/>
        <v>8</v>
      </c>
      <c r="B30" s="4">
        <f t="shared" si="2"/>
        <v>0.02</v>
      </c>
      <c r="C30" s="4">
        <f t="shared" si="22"/>
        <v>0.13</v>
      </c>
      <c r="D30" s="4">
        <f t="shared" si="23"/>
        <v>0.85214378896621135</v>
      </c>
      <c r="E30" s="4">
        <f t="shared" si="3"/>
        <v>0.96078943915232329</v>
      </c>
      <c r="F30" s="3">
        <f t="shared" si="4"/>
        <v>0.59672987905650821</v>
      </c>
      <c r="G30" s="16">
        <f t="shared" si="24"/>
        <v>1.4791877874335742</v>
      </c>
      <c r="H30" s="16">
        <f t="shared" si="25"/>
        <v>1.1114922612165694</v>
      </c>
      <c r="I30" s="4">
        <f t="shared" si="5"/>
        <v>1.4999999999999999E-2</v>
      </c>
      <c r="J30" s="20">
        <f t="shared" si="6"/>
        <v>0.88692043671715748</v>
      </c>
      <c r="K30" s="4">
        <f t="shared" si="7"/>
        <v>-1.1222453958798485E-2</v>
      </c>
      <c r="L30" s="4">
        <f t="shared" si="8"/>
        <v>0.52925192493497486</v>
      </c>
      <c r="M30" s="4">
        <f t="shared" si="26"/>
        <v>0.51802947097617635</v>
      </c>
      <c r="N30" s="4">
        <f t="shared" si="9"/>
        <v>4.7320948413689216E-2</v>
      </c>
      <c r="O30" s="4">
        <f t="shared" si="27"/>
        <v>3.2283963069539255E-2</v>
      </c>
      <c r="P30" s="4"/>
      <c r="Q30" s="3">
        <v>8.0000000000000002E-3</v>
      </c>
      <c r="R30" s="3">
        <v>2.3400000000000001E-2</v>
      </c>
      <c r="S30" s="3">
        <v>6.3700000000000007E-2</v>
      </c>
      <c r="T30" s="3">
        <v>2.7E-2</v>
      </c>
      <c r="U30" s="3">
        <f t="shared" si="28"/>
        <v>2.5000000000000001E-2</v>
      </c>
      <c r="V30" s="3">
        <f t="shared" si="1"/>
        <v>2.3400000000000001E-2</v>
      </c>
      <c r="X30" s="3">
        <f t="shared" si="10"/>
        <v>-2.6260542263588458E-4</v>
      </c>
      <c r="Y30" s="3">
        <f t="shared" si="11"/>
        <v>1.2384495043478412E-2</v>
      </c>
      <c r="Z30" s="3">
        <f t="shared" si="12"/>
        <v>1.2121889620842527E-2</v>
      </c>
      <c r="AA30" s="19">
        <f t="shared" si="13"/>
        <v>1.3667392382692661E-2</v>
      </c>
      <c r="AB30" s="3"/>
      <c r="AC30" s="5">
        <f t="shared" si="14"/>
        <v>-452422.24187314638</v>
      </c>
      <c r="AD30" s="5">
        <f t="shared" si="15"/>
        <v>21336273.089098539</v>
      </c>
      <c r="AE30" s="5">
        <f t="shared" si="16"/>
        <v>20883850.84722539</v>
      </c>
      <c r="AF30" s="5"/>
      <c r="AG30" s="15">
        <f t="shared" si="17"/>
        <v>190</v>
      </c>
      <c r="AH30" s="4">
        <f t="shared" si="29"/>
        <v>6.1680940589668741E-2</v>
      </c>
      <c r="AI30" s="5">
        <f t="shared" si="18"/>
        <v>12</v>
      </c>
      <c r="AK30" s="5">
        <f t="shared" si="19"/>
        <v>204354.14897106425</v>
      </c>
      <c r="AL30" s="5">
        <f t="shared" si="20"/>
        <v>34899.217187186106</v>
      </c>
      <c r="AM30" s="5">
        <f t="shared" si="30"/>
        <v>-2033459.1814065375</v>
      </c>
    </row>
    <row r="31" spans="1:39" x14ac:dyDescent="0.2">
      <c r="A31">
        <f t="shared" si="21"/>
        <v>9</v>
      </c>
      <c r="B31" s="4">
        <f t="shared" si="2"/>
        <v>0.02</v>
      </c>
      <c r="C31" s="4">
        <f t="shared" si="22"/>
        <v>0.13</v>
      </c>
      <c r="D31" s="4">
        <f t="shared" si="23"/>
        <v>0.835270211411272</v>
      </c>
      <c r="E31" s="4">
        <f t="shared" si="3"/>
        <v>0.95599748183309996</v>
      </c>
      <c r="F31" s="3">
        <f t="shared" si="4"/>
        <v>0.62732487419606764</v>
      </c>
      <c r="G31" s="16">
        <f t="shared" si="24"/>
        <v>1.2752326458311662</v>
      </c>
      <c r="H31" s="16">
        <f t="shared" si="25"/>
        <v>0.88523264583116623</v>
      </c>
      <c r="I31" s="4">
        <f t="shared" si="5"/>
        <v>1.4999999999999999E-2</v>
      </c>
      <c r="J31" s="20">
        <f t="shared" si="6"/>
        <v>0.87371591168803442</v>
      </c>
      <c r="K31" s="4">
        <f t="shared" si="7"/>
        <v>-1.8594985195938954E-2</v>
      </c>
      <c r="L31" s="4">
        <f t="shared" si="8"/>
        <v>0.54810372438279875</v>
      </c>
      <c r="M31" s="4">
        <f t="shared" si="26"/>
        <v>0.52950873918685981</v>
      </c>
      <c r="N31" s="4">
        <f t="shared" si="9"/>
        <v>4.6165013599941115E-2</v>
      </c>
      <c r="O31" s="4">
        <f t="shared" si="27"/>
        <v>3.2283963069539255E-2</v>
      </c>
      <c r="P31" s="4"/>
      <c r="Q31" s="3">
        <v>8.6999999999999994E-3</v>
      </c>
      <c r="R31" s="3">
        <v>2.5600000000000001E-2</v>
      </c>
      <c r="S31" s="3">
        <v>6.54E-2</v>
      </c>
      <c r="T31" s="3">
        <v>2.86E-2</v>
      </c>
      <c r="U31" s="3">
        <f t="shared" si="28"/>
        <v>2.5000000000000001E-2</v>
      </c>
      <c r="V31" s="3">
        <f t="shared" si="1"/>
        <v>2.5600000000000001E-2</v>
      </c>
      <c r="X31" s="3">
        <f t="shared" si="10"/>
        <v>-4.7603162101603723E-4</v>
      </c>
      <c r="Y31" s="3">
        <f t="shared" si="11"/>
        <v>1.4031455344199648E-2</v>
      </c>
      <c r="Z31" s="3">
        <f t="shared" si="12"/>
        <v>1.3555423723183612E-2</v>
      </c>
      <c r="AA31" s="19">
        <f t="shared" si="13"/>
        <v>1.5514681078652094E-2</v>
      </c>
      <c r="AB31" s="3"/>
      <c r="AC31" s="5">
        <f t="shared" si="14"/>
        <v>-820117.46376311872</v>
      </c>
      <c r="AD31" s="5">
        <f t="shared" si="15"/>
        <v>24173691.54013152</v>
      </c>
      <c r="AE31" s="5">
        <f t="shared" si="16"/>
        <v>23353574.076368403</v>
      </c>
      <c r="AF31" s="5"/>
      <c r="AG31" s="15">
        <f t="shared" si="17"/>
        <v>207</v>
      </c>
      <c r="AH31" s="4">
        <f t="shared" si="29"/>
        <v>8.8344434327069232E-2</v>
      </c>
      <c r="AI31" s="5">
        <f t="shared" si="18"/>
        <v>18</v>
      </c>
      <c r="AK31" s="5">
        <f t="shared" si="19"/>
        <v>203334.92840100935</v>
      </c>
      <c r="AL31" s="5">
        <f t="shared" si="20"/>
        <v>29160.970792086318</v>
      </c>
      <c r="AM31" s="5">
        <f t="shared" si="30"/>
        <v>-3135131.2369606146</v>
      </c>
    </row>
    <row r="32" spans="1:39" x14ac:dyDescent="0.2">
      <c r="A32">
        <f t="shared" si="21"/>
        <v>10</v>
      </c>
      <c r="B32" s="4">
        <f t="shared" si="2"/>
        <v>0.02</v>
      </c>
      <c r="C32" s="4">
        <f t="shared" si="22"/>
        <v>0.13</v>
      </c>
      <c r="D32" s="4">
        <f t="shared" si="23"/>
        <v>0.81873075307798182</v>
      </c>
      <c r="E32" s="4">
        <f t="shared" si="3"/>
        <v>0.9512294245007139</v>
      </c>
      <c r="F32" s="3">
        <f t="shared" si="4"/>
        <v>0.65948850828005134</v>
      </c>
      <c r="G32" s="16">
        <f t="shared" si="24"/>
        <v>1.0965580467819951</v>
      </c>
      <c r="H32" s="16">
        <f t="shared" si="25"/>
        <v>0.68546195096010576</v>
      </c>
      <c r="I32" s="4">
        <f t="shared" si="5"/>
        <v>1.4999999999999999E-2</v>
      </c>
      <c r="J32" s="20">
        <f t="shared" si="6"/>
        <v>0.86070797642505781</v>
      </c>
      <c r="K32" s="4">
        <f t="shared" si="7"/>
        <v>-2.8245896634508608E-2</v>
      </c>
      <c r="L32" s="4">
        <f t="shared" si="8"/>
        <v>0.56762701943730298</v>
      </c>
      <c r="M32" s="4">
        <f t="shared" si="26"/>
        <v>0.53938112280279438</v>
      </c>
      <c r="N32" s="4">
        <f t="shared" si="9"/>
        <v>4.4895786632747195E-2</v>
      </c>
      <c r="O32" s="4">
        <f t="shared" si="27"/>
        <v>3.2283963069539255E-2</v>
      </c>
      <c r="P32" s="4"/>
      <c r="Q32" s="3">
        <v>9.5999999999999992E-3</v>
      </c>
      <c r="R32" s="3">
        <v>2.81E-2</v>
      </c>
      <c r="S32" s="3">
        <v>6.5799999999999997E-2</v>
      </c>
      <c r="T32" s="3">
        <v>3.0300000000000001E-2</v>
      </c>
      <c r="U32" s="3">
        <f t="shared" si="28"/>
        <v>2.5000000000000001E-2</v>
      </c>
      <c r="V32" s="3">
        <f t="shared" si="1"/>
        <v>2.81E-2</v>
      </c>
      <c r="X32" s="3">
        <f t="shared" si="10"/>
        <v>-7.9370969542969189E-4</v>
      </c>
      <c r="Y32" s="3">
        <f t="shared" si="11"/>
        <v>1.5950319246188213E-2</v>
      </c>
      <c r="Z32" s="3">
        <f t="shared" si="12"/>
        <v>1.5156609550758522E-2</v>
      </c>
      <c r="AA32" s="19">
        <f t="shared" si="13"/>
        <v>1.7609467979733791E-2</v>
      </c>
      <c r="AB32" s="3"/>
      <c r="AC32" s="5">
        <f t="shared" si="14"/>
        <v>-1367420.0486737555</v>
      </c>
      <c r="AD32" s="5">
        <f t="shared" si="15"/>
        <v>27479551.334164921</v>
      </c>
      <c r="AE32" s="5">
        <f t="shared" si="16"/>
        <v>26112131.285491168</v>
      </c>
      <c r="AF32" s="5"/>
      <c r="AG32" s="15">
        <f t="shared" si="17"/>
        <v>228</v>
      </c>
      <c r="AH32" s="4">
        <f t="shared" si="29"/>
        <v>0.11741547351313006</v>
      </c>
      <c r="AI32" s="5">
        <f t="shared" si="18"/>
        <v>27</v>
      </c>
      <c r="AK32" s="5">
        <f t="shared" si="19"/>
        <v>202320.79121475483</v>
      </c>
      <c r="AL32" s="5">
        <f t="shared" si="20"/>
        <v>24460.133073589357</v>
      </c>
      <c r="AM32" s="5">
        <f t="shared" si="30"/>
        <v>-4802237.7698114682</v>
      </c>
    </row>
    <row r="33" spans="1:43" x14ac:dyDescent="0.2">
      <c r="A33">
        <f t="shared" si="21"/>
        <v>11</v>
      </c>
      <c r="B33" s="4">
        <f t="shared" si="2"/>
        <v>0.02</v>
      </c>
      <c r="C33" s="4">
        <f t="shared" si="22"/>
        <v>0.13</v>
      </c>
      <c r="D33" s="4">
        <f t="shared" si="23"/>
        <v>0.80251879796247849</v>
      </c>
      <c r="E33" s="4">
        <f t="shared" si="3"/>
        <v>0.94648514795348393</v>
      </c>
      <c r="F33" s="3">
        <f t="shared" si="4"/>
        <v>0.6933012071469582</v>
      </c>
      <c r="G33" s="16">
        <f t="shared" si="24"/>
        <v>0.9375628200036592</v>
      </c>
      <c r="H33" s="16">
        <f t="shared" si="25"/>
        <v>0.50640159725745715</v>
      </c>
      <c r="I33" s="4">
        <f t="shared" si="5"/>
        <v>1.4999999999999999E-2</v>
      </c>
      <c r="J33" s="20">
        <f t="shared" si="6"/>
        <v>0.84789370408791587</v>
      </c>
      <c r="K33" s="4">
        <f t="shared" si="7"/>
        <v>-4.0223214102611281E-2</v>
      </c>
      <c r="L33" s="4">
        <f t="shared" si="8"/>
        <v>0.58784572857645778</v>
      </c>
      <c r="M33" s="4">
        <f t="shared" si="26"/>
        <v>0.54762251447384647</v>
      </c>
      <c r="N33" s="4">
        <f t="shared" si="9"/>
        <v>4.3556514570747766E-2</v>
      </c>
      <c r="O33" s="4">
        <f t="shared" si="27"/>
        <v>3.2283963069539255E-2</v>
      </c>
      <c r="P33" s="4"/>
      <c r="Q33" s="3">
        <v>1.0500000000000001E-2</v>
      </c>
      <c r="R33" s="3">
        <v>3.0700000000000002E-2</v>
      </c>
      <c r="S33" s="3">
        <v>6.4399999999999999E-2</v>
      </c>
      <c r="T33" s="3">
        <v>3.2099999999999997E-2</v>
      </c>
      <c r="U33" s="3">
        <f t="shared" si="28"/>
        <v>2.5000000000000001E-2</v>
      </c>
      <c r="V33" s="3">
        <f t="shared" si="1"/>
        <v>3.0700000000000002E-2</v>
      </c>
      <c r="X33" s="3">
        <f t="shared" si="10"/>
        <v>-1.2348526729501663E-3</v>
      </c>
      <c r="Y33" s="3">
        <f t="shared" si="11"/>
        <v>1.8046863867297255E-2</v>
      </c>
      <c r="Z33" s="3">
        <f t="shared" si="12"/>
        <v>1.6812011194347089E-2</v>
      </c>
      <c r="AA33" s="19">
        <f t="shared" si="13"/>
        <v>1.9827970314311823E-2</v>
      </c>
      <c r="AB33" s="3"/>
      <c r="AC33" s="5">
        <f t="shared" si="14"/>
        <v>-2127430.6108057476</v>
      </c>
      <c r="AD33" s="5">
        <f t="shared" si="15"/>
        <v>31091523.273466472</v>
      </c>
      <c r="AE33" s="5">
        <f t="shared" si="16"/>
        <v>28964092.662660722</v>
      </c>
      <c r="AF33" s="5"/>
      <c r="AG33" s="15">
        <f t="shared" si="17"/>
        <v>249</v>
      </c>
      <c r="AH33" s="4">
        <f t="shared" si="29"/>
        <v>0.14773238897871618</v>
      </c>
      <c r="AI33" s="5">
        <f t="shared" si="18"/>
        <v>37</v>
      </c>
      <c r="AK33" s="5">
        <f t="shared" si="19"/>
        <v>201311.71205881832</v>
      </c>
      <c r="AL33" s="5">
        <f t="shared" si="20"/>
        <v>20586.713858957381</v>
      </c>
      <c r="AM33" s="5">
        <f t="shared" si="30"/>
        <v>-6686824.9333948549</v>
      </c>
    </row>
    <row r="34" spans="1:43" x14ac:dyDescent="0.2">
      <c r="A34">
        <f t="shared" si="21"/>
        <v>12</v>
      </c>
      <c r="B34" s="4">
        <f t="shared" si="2"/>
        <v>0.02</v>
      </c>
      <c r="C34" s="4">
        <f t="shared" si="22"/>
        <v>0.13</v>
      </c>
      <c r="D34" s="4">
        <f t="shared" si="23"/>
        <v>0.78662786106655347</v>
      </c>
      <c r="E34" s="4">
        <f t="shared" si="3"/>
        <v>0.94176453358424872</v>
      </c>
      <c r="F34" s="3">
        <f t="shared" si="4"/>
        <v>0.72884752015620369</v>
      </c>
      <c r="G34" s="16">
        <f t="shared" si="24"/>
        <v>0.79428015513145245</v>
      </c>
      <c r="H34" s="16">
        <f t="shared" si="25"/>
        <v>0.34394694516354435</v>
      </c>
      <c r="I34" s="4">
        <f t="shared" si="5"/>
        <v>1.4999999999999999E-2</v>
      </c>
      <c r="J34" s="20">
        <f t="shared" si="6"/>
        <v>0.835270211411272</v>
      </c>
      <c r="K34" s="4">
        <f t="shared" si="7"/>
        <v>-5.4518361619897086E-2</v>
      </c>
      <c r="L34" s="4">
        <f t="shared" si="8"/>
        <v>0.60878462224745356</v>
      </c>
      <c r="M34" s="4">
        <f t="shared" si="26"/>
        <v>0.55426626062755646</v>
      </c>
      <c r="N34" s="4">
        <f t="shared" si="9"/>
        <v>4.2181719919346806E-2</v>
      </c>
      <c r="O34" s="4">
        <f t="shared" si="27"/>
        <v>3.2283963069539255E-2</v>
      </c>
      <c r="P34" s="4"/>
      <c r="Q34" s="3">
        <v>1.1599999999999999E-2</v>
      </c>
      <c r="R34" s="3">
        <v>3.3500000000000002E-2</v>
      </c>
      <c r="S34" s="3">
        <v>6.13E-2</v>
      </c>
      <c r="T34" s="3">
        <v>3.3799999999999997E-2</v>
      </c>
      <c r="U34" s="3">
        <f t="shared" si="28"/>
        <v>2.5000000000000001E-2</v>
      </c>
      <c r="V34" s="3">
        <f t="shared" si="1"/>
        <v>3.3500000000000002E-2</v>
      </c>
      <c r="X34" s="3">
        <f t="shared" si="10"/>
        <v>-1.8263651142665525E-3</v>
      </c>
      <c r="Y34" s="3">
        <f t="shared" si="11"/>
        <v>2.0394284845289695E-2</v>
      </c>
      <c r="Z34" s="3">
        <f t="shared" si="12"/>
        <v>1.8567919731023143E-2</v>
      </c>
      <c r="AA34" s="19">
        <f t="shared" si="13"/>
        <v>2.2229835899032959E-2</v>
      </c>
      <c r="AB34" s="3"/>
      <c r="AC34" s="5">
        <f t="shared" si="14"/>
        <v>-3146500.9030718622</v>
      </c>
      <c r="AD34" s="5">
        <f t="shared" si="15"/>
        <v>35135710.369160771</v>
      </c>
      <c r="AE34" s="5">
        <f t="shared" si="16"/>
        <v>31989209.466088917</v>
      </c>
      <c r="AF34" s="5"/>
      <c r="AG34" s="15">
        <f t="shared" si="17"/>
        <v>271</v>
      </c>
      <c r="AH34" s="4">
        <f t="shared" si="29"/>
        <v>0.1783437024193284</v>
      </c>
      <c r="AI34" s="5">
        <f t="shared" si="18"/>
        <v>48</v>
      </c>
      <c r="AK34" s="5">
        <f t="shared" si="19"/>
        <v>200307.66570616819</v>
      </c>
      <c r="AL34" s="5">
        <f t="shared" si="20"/>
        <v>17379.092486277244</v>
      </c>
      <c r="AM34" s="5">
        <f t="shared" si="30"/>
        <v>-8780571.5145547651</v>
      </c>
    </row>
    <row r="35" spans="1:43" x14ac:dyDescent="0.2">
      <c r="A35">
        <f t="shared" si="21"/>
        <v>13</v>
      </c>
      <c r="B35" s="4">
        <f t="shared" si="2"/>
        <v>0.02</v>
      </c>
      <c r="C35" s="4">
        <f t="shared" si="22"/>
        <v>0.13</v>
      </c>
      <c r="D35" s="4">
        <f t="shared" si="23"/>
        <v>0.77105158580356625</v>
      </c>
      <c r="E35" s="4">
        <f t="shared" si="3"/>
        <v>0.93706746337740332</v>
      </c>
      <c r="F35" s="3">
        <f t="shared" si="4"/>
        <v>0.76621633160555858</v>
      </c>
      <c r="G35" s="16">
        <f t="shared" si="24"/>
        <v>0.66380701932405783</v>
      </c>
      <c r="H35" s="16">
        <f t="shared" si="25"/>
        <v>0.19508535351373923</v>
      </c>
      <c r="I35" s="4">
        <f t="shared" si="5"/>
        <v>1.4999999999999999E-2</v>
      </c>
      <c r="J35" s="20">
        <f t="shared" si="6"/>
        <v>0.82283465805601841</v>
      </c>
      <c r="K35" s="4">
        <f t="shared" si="7"/>
        <v>-7.108630410226506E-2</v>
      </c>
      <c r="L35" s="4">
        <f t="shared" si="8"/>
        <v>0.63046935321359665</v>
      </c>
      <c r="M35" s="4">
        <f t="shared" si="26"/>
        <v>0.55938304911133163</v>
      </c>
      <c r="N35" s="4">
        <f t="shared" si="9"/>
        <v>4.0797687022337076E-2</v>
      </c>
      <c r="O35" s="4">
        <f t="shared" si="27"/>
        <v>3.2283963069539255E-2</v>
      </c>
      <c r="P35" s="4"/>
      <c r="Q35" s="3">
        <v>1.2699999999999999E-2</v>
      </c>
      <c r="R35" s="3">
        <v>3.6400000000000002E-2</v>
      </c>
      <c r="S35" s="3">
        <v>5.6800000000000003E-2</v>
      </c>
      <c r="T35" s="3">
        <v>3.56E-2</v>
      </c>
      <c r="U35" s="3">
        <f t="shared" si="28"/>
        <v>2.5000000000000001E-2</v>
      </c>
      <c r="V35" s="3">
        <f t="shared" si="1"/>
        <v>3.6400000000000002E-2</v>
      </c>
      <c r="X35" s="3">
        <f t="shared" si="10"/>
        <v>-2.5875414693224482E-3</v>
      </c>
      <c r="Y35" s="3">
        <f t="shared" si="11"/>
        <v>2.2949084456974918E-2</v>
      </c>
      <c r="Z35" s="3">
        <f t="shared" si="12"/>
        <v>2.0361542987652474E-2</v>
      </c>
      <c r="AA35" s="19">
        <f t="shared" si="13"/>
        <v>2.4745606894776988E-2</v>
      </c>
      <c r="AB35" s="3"/>
      <c r="AC35" s="5">
        <f t="shared" si="14"/>
        <v>-4457871.8167361571</v>
      </c>
      <c r="AD35" s="5">
        <f t="shared" si="15"/>
        <v>39537173.812883765</v>
      </c>
      <c r="AE35" s="5">
        <f t="shared" si="16"/>
        <v>35079301.996147618</v>
      </c>
      <c r="AF35" s="5"/>
      <c r="AG35" s="15">
        <f t="shared" si="17"/>
        <v>295</v>
      </c>
      <c r="AH35" s="4">
        <f t="shared" si="29"/>
        <v>0.20851199329366019</v>
      </c>
      <c r="AI35" s="5">
        <f t="shared" si="18"/>
        <v>61</v>
      </c>
      <c r="AK35" s="5">
        <f t="shared" si="19"/>
        <v>199308.62705559342</v>
      </c>
      <c r="AL35" s="5">
        <f t="shared" si="20"/>
        <v>14711.217023745648</v>
      </c>
      <c r="AM35" s="5">
        <f t="shared" si="30"/>
        <v>-11260442.011942714</v>
      </c>
    </row>
    <row r="36" spans="1:43" x14ac:dyDescent="0.2">
      <c r="A36">
        <f t="shared" si="21"/>
        <v>14</v>
      </c>
      <c r="B36" s="4">
        <f t="shared" si="2"/>
        <v>0.02</v>
      </c>
      <c r="C36" s="4">
        <f t="shared" si="22"/>
        <v>0.13</v>
      </c>
      <c r="D36" s="4">
        <f t="shared" si="23"/>
        <v>0.75578374145572547</v>
      </c>
      <c r="E36" s="4">
        <f t="shared" si="3"/>
        <v>0.93239381990594816</v>
      </c>
      <c r="F36" s="3">
        <f t="shared" si="4"/>
        <v>0.80550108298819068</v>
      </c>
      <c r="G36" s="16">
        <f t="shared" si="24"/>
        <v>0.54396036614772258</v>
      </c>
      <c r="H36" s="16">
        <f t="shared" si="25"/>
        <v>5.7544905867110197E-2</v>
      </c>
      <c r="I36" s="4">
        <f t="shared" si="5"/>
        <v>1.4999999999999999E-2</v>
      </c>
      <c r="J36" s="20">
        <f t="shared" si="6"/>
        <v>0.81058424597018708</v>
      </c>
      <c r="K36" s="4">
        <f t="shared" si="7"/>
        <v>-8.9860444587418403E-2</v>
      </c>
      <c r="L36" s="4">
        <f t="shared" si="8"/>
        <v>0.65292648798215158</v>
      </c>
      <c r="M36" s="4">
        <f t="shared" si="26"/>
        <v>0.56306604339473321</v>
      </c>
      <c r="N36" s="4">
        <f t="shared" si="9"/>
        <v>3.9423741454229617E-2</v>
      </c>
      <c r="O36" s="4">
        <f t="shared" si="27"/>
        <v>3.2283963069539255E-2</v>
      </c>
      <c r="P36" s="4"/>
      <c r="Q36" s="3">
        <v>1.4E-2</v>
      </c>
      <c r="R36" s="3">
        <v>3.9399999999999998E-2</v>
      </c>
      <c r="S36" s="3">
        <v>5.11E-2</v>
      </c>
      <c r="T36" s="3">
        <v>3.7100000000000001E-2</v>
      </c>
      <c r="U36" s="3">
        <f t="shared" si="28"/>
        <v>2.5000000000000001E-2</v>
      </c>
      <c r="V36" s="3">
        <f t="shared" si="1"/>
        <v>3.9399999999999998E-2</v>
      </c>
      <c r="X36" s="3">
        <f t="shared" si="10"/>
        <v>-3.5405015167442847E-3</v>
      </c>
      <c r="Y36" s="3">
        <f t="shared" si="11"/>
        <v>2.5725303626496769E-2</v>
      </c>
      <c r="Z36" s="3">
        <f t="shared" si="12"/>
        <v>2.2184802109752488E-2</v>
      </c>
      <c r="AA36" s="19">
        <f t="shared" si="13"/>
        <v>2.7368903627283715E-2</v>
      </c>
      <c r="AB36" s="3"/>
      <c r="AC36" s="5">
        <f t="shared" si="14"/>
        <v>-6099651.7797795115</v>
      </c>
      <c r="AD36" s="5">
        <f t="shared" si="15"/>
        <v>44320103.609226242</v>
      </c>
      <c r="AE36" s="5">
        <f t="shared" si="16"/>
        <v>38220451.829446733</v>
      </c>
      <c r="AF36" s="5"/>
      <c r="AG36" s="15">
        <f t="shared" si="17"/>
        <v>319</v>
      </c>
      <c r="AH36" s="4">
        <f t="shared" si="29"/>
        <v>0.23769116348723843</v>
      </c>
      <c r="AI36" s="5">
        <f t="shared" si="18"/>
        <v>76</v>
      </c>
      <c r="AK36" s="5">
        <f t="shared" si="19"/>
        <v>198314.57113107573</v>
      </c>
      <c r="AL36" s="5">
        <f t="shared" si="20"/>
        <v>12483.693835670509</v>
      </c>
      <c r="AM36" s="5">
        <f t="shared" si="30"/>
        <v>-14123146.674450798</v>
      </c>
    </row>
    <row r="37" spans="1:43" x14ac:dyDescent="0.2">
      <c r="A37">
        <f t="shared" si="21"/>
        <v>15</v>
      </c>
      <c r="B37" s="4">
        <f t="shared" si="2"/>
        <v>0.02</v>
      </c>
      <c r="C37" s="4">
        <f t="shared" si="22"/>
        <v>0.13</v>
      </c>
      <c r="D37" s="4">
        <f t="shared" si="23"/>
        <v>0.74081822068171788</v>
      </c>
      <c r="E37" s="4">
        <f t="shared" si="3"/>
        <v>0.92774348632855297</v>
      </c>
      <c r="F37" s="3">
        <f t="shared" si="4"/>
        <v>0.84680000664506994</v>
      </c>
      <c r="G37" s="16">
        <f t="shared" si="24"/>
        <v>0.43306057607357917</v>
      </c>
      <c r="H37" s="16">
        <f t="shared" si="25"/>
        <v>-7.0427258933385084E-2</v>
      </c>
      <c r="I37" s="4">
        <f t="shared" si="5"/>
        <v>1.4999999999999999E-2</v>
      </c>
      <c r="J37" s="20">
        <f t="shared" si="6"/>
        <v>0.79851621875937706</v>
      </c>
      <c r="K37" s="4">
        <f t="shared" si="7"/>
        <v>-0.11076317827067821</v>
      </c>
      <c r="L37" s="4">
        <f t="shared" si="8"/>
        <v>0.67618353935163666</v>
      </c>
      <c r="M37" s="4">
        <f t="shared" si="26"/>
        <v>0.5654203610809585</v>
      </c>
      <c r="N37" s="4">
        <f t="shared" si="9"/>
        <v>3.8073660621295864E-2</v>
      </c>
      <c r="O37" s="4">
        <f t="shared" si="27"/>
        <v>3.2283963069539255E-2</v>
      </c>
      <c r="P37" s="4"/>
      <c r="Q37" s="3">
        <v>1.54E-2</v>
      </c>
      <c r="R37" s="3">
        <v>4.2500000000000003E-2</v>
      </c>
      <c r="S37" s="3">
        <v>4.4600000000000001E-2</v>
      </c>
      <c r="T37" s="3">
        <v>3.85E-2</v>
      </c>
      <c r="U37" s="3">
        <f t="shared" si="28"/>
        <v>2.5000000000000001E-2</v>
      </c>
      <c r="V37" s="3">
        <f t="shared" si="1"/>
        <v>4.2500000000000003E-2</v>
      </c>
      <c r="X37" s="3">
        <f t="shared" si="10"/>
        <v>-4.7074350765038244E-3</v>
      </c>
      <c r="Y37" s="3">
        <f t="shared" si="11"/>
        <v>2.8737800422444559E-2</v>
      </c>
      <c r="Z37" s="3">
        <f t="shared" si="12"/>
        <v>2.4030365345940739E-2</v>
      </c>
      <c r="AA37" s="19">
        <f t="shared" si="13"/>
        <v>3.0093772401111357E-2</v>
      </c>
      <c r="AB37" s="3"/>
      <c r="AC37" s="5">
        <f t="shared" si="14"/>
        <v>-8110069.8889114261</v>
      </c>
      <c r="AD37" s="5">
        <f t="shared" si="15"/>
        <v>49510097.556716524</v>
      </c>
      <c r="AE37" s="5">
        <f t="shared" si="16"/>
        <v>41400027.667805105</v>
      </c>
      <c r="AF37" s="5"/>
      <c r="AG37" s="15">
        <f t="shared" si="17"/>
        <v>344</v>
      </c>
      <c r="AH37" s="4">
        <f t="shared" si="29"/>
        <v>0.26549496951789836</v>
      </c>
      <c r="AI37" s="5">
        <f t="shared" si="18"/>
        <v>91</v>
      </c>
      <c r="AK37" s="5">
        <f t="shared" si="19"/>
        <v>197325.47308116526</v>
      </c>
      <c r="AL37" s="5">
        <f t="shared" si="20"/>
        <v>10617.423393894169</v>
      </c>
      <c r="AM37" s="5">
        <f t="shared" si="30"/>
        <v>-16990432.52154167</v>
      </c>
    </row>
    <row r="38" spans="1:43" x14ac:dyDescent="0.2">
      <c r="A38">
        <f t="shared" si="21"/>
        <v>16</v>
      </c>
      <c r="B38" s="4">
        <f t="shared" si="2"/>
        <v>0.02</v>
      </c>
      <c r="C38" s="4">
        <f t="shared" si="22"/>
        <v>0.13</v>
      </c>
      <c r="D38" s="4">
        <f t="shared" si="23"/>
        <v>0.72614903707369094</v>
      </c>
      <c r="E38" s="4">
        <f t="shared" si="3"/>
        <v>0.92311634638663587</v>
      </c>
      <c r="F38" s="3">
        <f t="shared" si="4"/>
        <v>0.89021637139698717</v>
      </c>
      <c r="G38" s="16">
        <f t="shared" si="24"/>
        <v>0.32978986898875978</v>
      </c>
      <c r="H38" s="16">
        <f t="shared" si="25"/>
        <v>-0.19021013101124024</v>
      </c>
      <c r="I38" s="4">
        <f t="shared" si="5"/>
        <v>1.4999999999999999E-2</v>
      </c>
      <c r="J38" s="20">
        <f t="shared" si="6"/>
        <v>0.78662786106655347</v>
      </c>
      <c r="K38" s="4">
        <f t="shared" si="7"/>
        <v>-0.13371314116465616</v>
      </c>
      <c r="L38" s="4">
        <f t="shared" si="8"/>
        <v>0.70026900011844062</v>
      </c>
      <c r="M38" s="4">
        <f t="shared" si="26"/>
        <v>0.56655585895378446</v>
      </c>
      <c r="N38" s="4">
        <f t="shared" si="9"/>
        <v>3.6756945757778298E-2</v>
      </c>
      <c r="O38" s="4">
        <f t="shared" si="27"/>
        <v>3.2283963069539255E-2</v>
      </c>
      <c r="P38" s="4"/>
      <c r="Q38" s="3">
        <v>1.7000000000000001E-2</v>
      </c>
      <c r="R38" s="3">
        <v>4.5499999999999999E-2</v>
      </c>
      <c r="S38" s="3">
        <v>3.7900000000000003E-2</v>
      </c>
      <c r="T38" s="3">
        <v>3.9699999999999999E-2</v>
      </c>
      <c r="U38" s="3">
        <f t="shared" si="28"/>
        <v>2.5000000000000001E-2</v>
      </c>
      <c r="V38" s="3">
        <f t="shared" si="1"/>
        <v>4.5499999999999999E-2</v>
      </c>
      <c r="X38" s="3">
        <f t="shared" si="10"/>
        <v>-6.083947922991855E-3</v>
      </c>
      <c r="Y38" s="3">
        <f t="shared" si="11"/>
        <v>3.1862239505389051E-2</v>
      </c>
      <c r="Z38" s="3">
        <f t="shared" si="12"/>
        <v>2.5778291582397191E-2</v>
      </c>
      <c r="AA38" s="19">
        <f t="shared" si="13"/>
        <v>3.2770631270859843E-2</v>
      </c>
      <c r="AB38" s="3"/>
      <c r="AC38" s="5">
        <f t="shared" si="14"/>
        <v>-10481555.678215919</v>
      </c>
      <c r="AD38" s="5">
        <f t="shared" si="15"/>
        <v>54892948.071809672</v>
      </c>
      <c r="AE38" s="5">
        <f t="shared" si="16"/>
        <v>44411392.393593743</v>
      </c>
      <c r="AF38" s="5"/>
      <c r="AG38" s="15">
        <f t="shared" si="17"/>
        <v>369</v>
      </c>
      <c r="AH38" s="4">
        <f t="shared" si="29"/>
        <v>0.2916653838909451</v>
      </c>
      <c r="AI38" s="5">
        <f t="shared" si="18"/>
        <v>107</v>
      </c>
      <c r="AK38" s="5">
        <f t="shared" si="19"/>
        <v>196341.30817835912</v>
      </c>
      <c r="AL38" s="5">
        <f t="shared" si="20"/>
        <v>9048.9578281860813</v>
      </c>
      <c r="AM38" s="5">
        <f t="shared" si="30"/>
        <v>-20040281.487468515</v>
      </c>
    </row>
    <row r="39" spans="1:43" x14ac:dyDescent="0.2">
      <c r="A39">
        <f t="shared" si="21"/>
        <v>17</v>
      </c>
      <c r="B39" s="4">
        <f t="shared" si="2"/>
        <v>0.02</v>
      </c>
      <c r="C39" s="4">
        <f t="shared" si="22"/>
        <v>0.13</v>
      </c>
      <c r="D39" s="4">
        <f t="shared" si="23"/>
        <v>0.71177032276260965</v>
      </c>
      <c r="E39" s="4">
        <f t="shared" si="3"/>
        <v>0.91851228440145727</v>
      </c>
      <c r="F39" s="3">
        <f t="shared" si="4"/>
        <v>0.93585874077039655</v>
      </c>
      <c r="G39" s="16">
        <f t="shared" si="24"/>
        <v>0.233096757673808</v>
      </c>
      <c r="H39" s="16">
        <f t="shared" si="25"/>
        <v>-0.30290697365648789</v>
      </c>
      <c r="I39" s="4">
        <f t="shared" si="5"/>
        <v>1.4999999999999999E-2</v>
      </c>
      <c r="J39" s="20">
        <f t="shared" si="6"/>
        <v>0.77491649796108097</v>
      </c>
      <c r="K39" s="4">
        <f t="shared" si="7"/>
        <v>-0.15863005109574702</v>
      </c>
      <c r="L39" s="4">
        <f t="shared" si="8"/>
        <v>0.72521237798406279</v>
      </c>
      <c r="M39" s="4">
        <f t="shared" si="26"/>
        <v>0.56658232688831578</v>
      </c>
      <c r="N39" s="4">
        <f t="shared" si="9"/>
        <v>3.547987342871943E-2</v>
      </c>
      <c r="O39" s="4">
        <f t="shared" si="27"/>
        <v>3.2283963069539255E-2</v>
      </c>
      <c r="P39" s="4"/>
      <c r="Q39" s="3">
        <v>1.8700000000000001E-2</v>
      </c>
      <c r="R39" s="3">
        <v>4.8300000000000003E-2</v>
      </c>
      <c r="S39" s="3">
        <v>3.15E-2</v>
      </c>
      <c r="T39" s="3">
        <v>4.0899999999999999E-2</v>
      </c>
      <c r="U39" s="3">
        <f t="shared" si="28"/>
        <v>2.5000000000000001E-2</v>
      </c>
      <c r="V39" s="3">
        <f t="shared" si="1"/>
        <v>4.8300000000000003E-2</v>
      </c>
      <c r="X39" s="3">
        <f t="shared" si="10"/>
        <v>-7.6618314679245811E-3</v>
      </c>
      <c r="Y39" s="3">
        <f t="shared" si="11"/>
        <v>3.5027757856630232E-2</v>
      </c>
      <c r="Z39" s="3">
        <f t="shared" si="12"/>
        <v>2.7365926388705653E-2</v>
      </c>
      <c r="AA39" s="19">
        <f t="shared" si="13"/>
        <v>3.5314677724257289E-2</v>
      </c>
      <c r="AB39" s="3"/>
      <c r="AC39" s="5">
        <f t="shared" si="14"/>
        <v>-13199967.216133881</v>
      </c>
      <c r="AD39" s="5">
        <f t="shared" si="15"/>
        <v>60346570.829420693</v>
      </c>
      <c r="AE39" s="5">
        <f t="shared" si="16"/>
        <v>47146603.613286816</v>
      </c>
      <c r="AF39" s="5"/>
      <c r="AG39" s="15">
        <f t="shared" si="17"/>
        <v>391</v>
      </c>
      <c r="AH39" s="4">
        <f t="shared" si="29"/>
        <v>0.31604437488734938</v>
      </c>
      <c r="AI39" s="5">
        <f t="shared" si="18"/>
        <v>124</v>
      </c>
      <c r="AK39" s="5">
        <f t="shared" si="19"/>
        <v>195362.05181848354</v>
      </c>
      <c r="AL39" s="5">
        <f t="shared" si="20"/>
        <v>7727.0543956917745</v>
      </c>
      <c r="AM39" s="5">
        <f t="shared" si="30"/>
        <v>-23266739.680426177</v>
      </c>
    </row>
    <row r="40" spans="1:43" x14ac:dyDescent="0.2">
      <c r="A40">
        <f t="shared" si="21"/>
        <v>18</v>
      </c>
      <c r="B40" s="4">
        <f t="shared" si="2"/>
        <v>0.02</v>
      </c>
      <c r="C40" s="4">
        <f t="shared" si="22"/>
        <v>0.13</v>
      </c>
      <c r="D40" s="4">
        <f t="shared" si="23"/>
        <v>0.69767632607103103</v>
      </c>
      <c r="E40" s="4">
        <f t="shared" si="3"/>
        <v>0.91393118527122807</v>
      </c>
      <c r="F40" s="3">
        <f t="shared" si="4"/>
        <v>0.98384124446277998</v>
      </c>
      <c r="G40" s="16">
        <f t="shared" si="24"/>
        <v>0.14212978997536227</v>
      </c>
      <c r="H40" s="16">
        <f t="shared" si="25"/>
        <v>-0.40941349935014471</v>
      </c>
      <c r="I40" s="4">
        <f t="shared" si="5"/>
        <v>1.4999999999999999E-2</v>
      </c>
      <c r="J40" s="20">
        <f t="shared" si="6"/>
        <v>0.76337949433685315</v>
      </c>
      <c r="K40" s="4">
        <f t="shared" si="7"/>
        <v>-0.18543783979028966</v>
      </c>
      <c r="L40" s="4">
        <f t="shared" si="8"/>
        <v>0.75104423170573731</v>
      </c>
      <c r="M40" s="4">
        <f t="shared" si="26"/>
        <v>0.5656063919154477</v>
      </c>
      <c r="N40" s="4">
        <f t="shared" si="9"/>
        <v>3.4246326029667609E-2</v>
      </c>
      <c r="O40" s="4">
        <f t="shared" si="27"/>
        <v>3.2283963069539255E-2</v>
      </c>
      <c r="P40" s="4"/>
      <c r="Q40" s="3">
        <v>2.07E-2</v>
      </c>
      <c r="R40" s="3">
        <v>5.0700000000000002E-2</v>
      </c>
      <c r="S40" s="3">
        <v>2.5700000000000001E-2</v>
      </c>
      <c r="T40" s="3">
        <v>4.1799999999999997E-2</v>
      </c>
      <c r="U40" s="3">
        <f t="shared" si="28"/>
        <v>2.5000000000000001E-2</v>
      </c>
      <c r="V40" s="3">
        <f t="shared" si="1"/>
        <v>5.0700000000000002E-2</v>
      </c>
      <c r="X40" s="3">
        <f t="shared" si="10"/>
        <v>-9.4016984773676853E-3</v>
      </c>
      <c r="Y40" s="3">
        <f t="shared" si="11"/>
        <v>3.8077942547480884E-2</v>
      </c>
      <c r="Z40" s="3">
        <f t="shared" si="12"/>
        <v>2.86762440701132E-2</v>
      </c>
      <c r="AA40" s="19">
        <f t="shared" si="13"/>
        <v>3.7564860312398383E-2</v>
      </c>
      <c r="AB40" s="3"/>
      <c r="AC40" s="5">
        <f t="shared" si="14"/>
        <v>-16197447.333156465</v>
      </c>
      <c r="AD40" s="5">
        <f t="shared" si="15"/>
        <v>65601494.288770579</v>
      </c>
      <c r="AE40" s="5">
        <f t="shared" si="16"/>
        <v>49404046.95561412</v>
      </c>
      <c r="AF40" s="5"/>
      <c r="AG40" s="15">
        <f t="shared" si="17"/>
        <v>411</v>
      </c>
      <c r="AH40" s="4">
        <f t="shared" si="29"/>
        <v>0.33855021315190875</v>
      </c>
      <c r="AI40" s="5">
        <f t="shared" si="18"/>
        <v>139</v>
      </c>
      <c r="AK40" s="5">
        <f t="shared" si="19"/>
        <v>194387.67952007859</v>
      </c>
      <c r="AL40" s="5">
        <f t="shared" si="20"/>
        <v>6610.0785162798284</v>
      </c>
      <c r="AM40" s="5">
        <f t="shared" si="30"/>
        <v>-26101086.539528027</v>
      </c>
      <c r="AN40" s="15"/>
      <c r="AO40" s="15"/>
      <c r="AP40" s="15"/>
      <c r="AQ40" s="15"/>
    </row>
    <row r="41" spans="1:43" x14ac:dyDescent="0.2">
      <c r="A41">
        <f t="shared" si="21"/>
        <v>19</v>
      </c>
      <c r="B41" s="4">
        <f t="shared" si="2"/>
        <v>0.02</v>
      </c>
      <c r="C41" s="4">
        <f t="shared" si="22"/>
        <v>0.13</v>
      </c>
      <c r="D41" s="4">
        <f t="shared" si="23"/>
        <v>0.68386140921235583</v>
      </c>
      <c r="E41" s="4">
        <f t="shared" si="3"/>
        <v>0.90937293446823131</v>
      </c>
      <c r="F41" s="3">
        <f t="shared" si="4"/>
        <v>1.0342838637263385</v>
      </c>
      <c r="G41" s="16">
        <f t="shared" si="24"/>
        <v>5.6190498999115789E-2</v>
      </c>
      <c r="H41" s="16">
        <f t="shared" si="25"/>
        <v>-0.51046636366117182</v>
      </c>
      <c r="I41" s="4">
        <f t="shared" si="5"/>
        <v>1.4999999999999999E-2</v>
      </c>
      <c r="J41" s="20">
        <f t="shared" si="6"/>
        <v>0.75201425431938262</v>
      </c>
      <c r="K41" s="4">
        <f t="shared" si="7"/>
        <v>-0.21406659306116266</v>
      </c>
      <c r="L41" s="4">
        <f t="shared" si="8"/>
        <v>0.77779620853473241</v>
      </c>
      <c r="M41" s="4">
        <f t="shared" si="26"/>
        <v>0.56372961547356981</v>
      </c>
      <c r="N41" s="4">
        <f t="shared" si="9"/>
        <v>3.3058430749998056E-2</v>
      </c>
      <c r="O41" s="4">
        <f t="shared" si="27"/>
        <v>3.2283963069539255E-2</v>
      </c>
      <c r="P41" s="4"/>
      <c r="Q41" s="3">
        <v>2.29E-2</v>
      </c>
      <c r="R41" s="3">
        <v>5.2499999999999998E-2</v>
      </c>
      <c r="S41" s="3">
        <v>2.0299999999999999E-2</v>
      </c>
      <c r="T41" s="3">
        <v>4.2299999999999997E-2</v>
      </c>
      <c r="U41" s="3">
        <f t="shared" si="28"/>
        <v>2.5000000000000001E-2</v>
      </c>
      <c r="V41" s="3">
        <f t="shared" si="1"/>
        <v>5.2499999999999998E-2</v>
      </c>
      <c r="X41" s="3">
        <f t="shared" si="10"/>
        <v>-1.1238496135711038E-2</v>
      </c>
      <c r="Y41" s="3">
        <f t="shared" si="11"/>
        <v>4.083430094807345E-2</v>
      </c>
      <c r="Z41" s="3">
        <f t="shared" si="12"/>
        <v>2.9595804812362413E-2</v>
      </c>
      <c r="AA41" s="19">
        <f t="shared" si="13"/>
        <v>3.9355377431174315E-2</v>
      </c>
      <c r="AB41" s="3"/>
      <c r="AC41" s="5">
        <f t="shared" si="14"/>
        <v>-19361921.646420281</v>
      </c>
      <c r="AD41" s="5">
        <f t="shared" si="15"/>
        <v>70350207.527381226</v>
      </c>
      <c r="AE41" s="5">
        <f t="shared" si="16"/>
        <v>50988285.880960949</v>
      </c>
      <c r="AF41" s="5"/>
      <c r="AG41" s="15">
        <f t="shared" si="17"/>
        <v>425</v>
      </c>
      <c r="AH41" s="4">
        <f t="shared" si="29"/>
        <v>0.3591582665567718</v>
      </c>
      <c r="AI41" s="5">
        <f t="shared" si="18"/>
        <v>153</v>
      </c>
      <c r="AK41" s="5">
        <f t="shared" si="19"/>
        <v>193418.16692378599</v>
      </c>
      <c r="AL41" s="5">
        <f t="shared" si="20"/>
        <v>5664.0219325902463</v>
      </c>
      <c r="AM41" s="5">
        <f t="shared" si="30"/>
        <v>-28726384.183652949</v>
      </c>
      <c r="AN41" s="15"/>
      <c r="AO41" s="15"/>
      <c r="AP41" s="15"/>
      <c r="AQ41" s="15"/>
    </row>
    <row r="42" spans="1:43" x14ac:dyDescent="0.2">
      <c r="A42">
        <f t="shared" si="21"/>
        <v>20</v>
      </c>
      <c r="B42" s="4">
        <f t="shared" si="2"/>
        <v>0.02</v>
      </c>
      <c r="C42" s="4">
        <f t="shared" si="22"/>
        <v>0.13</v>
      </c>
      <c r="D42" s="4">
        <f t="shared" si="23"/>
        <v>0.67032004603563933</v>
      </c>
      <c r="E42" s="4">
        <f t="shared" si="3"/>
        <v>0.90483741803595963</v>
      </c>
      <c r="F42" s="3">
        <f t="shared" si="4"/>
        <v>1.0873127313836182</v>
      </c>
      <c r="G42" s="16">
        <f t="shared" si="24"/>
        <v>-2.5300710329738681E-2</v>
      </c>
      <c r="H42" s="16">
        <f t="shared" si="25"/>
        <v>-0.60667838447968403</v>
      </c>
      <c r="I42" s="4">
        <f t="shared" si="5"/>
        <v>1.4999999999999999E-2</v>
      </c>
      <c r="J42" s="20">
        <f t="shared" si="6"/>
        <v>0.74081822068171788</v>
      </c>
      <c r="K42" s="4">
        <f t="shared" si="7"/>
        <v>-0.2444536713379053</v>
      </c>
      <c r="L42" s="4">
        <f t="shared" si="8"/>
        <v>0.80550108298819068</v>
      </c>
      <c r="M42" s="4">
        <f t="shared" si="26"/>
        <v>0.56104741165028538</v>
      </c>
      <c r="N42" s="4">
        <f t="shared" si="9"/>
        <v>3.1917043379466006E-2</v>
      </c>
      <c r="O42" s="4">
        <f t="shared" si="27"/>
        <v>3.2283963069539255E-2</v>
      </c>
      <c r="P42" s="4"/>
      <c r="Q42" s="3">
        <v>2.52E-2</v>
      </c>
      <c r="R42" s="3">
        <v>5.3199999999999997E-2</v>
      </c>
      <c r="S42" s="3">
        <v>1.5599999999999999E-2</v>
      </c>
      <c r="T42" s="3">
        <v>4.2500000000000003E-2</v>
      </c>
      <c r="U42" s="3">
        <f t="shared" si="28"/>
        <v>2.5000000000000001E-2</v>
      </c>
      <c r="V42" s="3">
        <f t="shared" si="1"/>
        <v>5.3199999999999997E-2</v>
      </c>
      <c r="X42" s="3">
        <f t="shared" si="10"/>
        <v>-1.3004935315176561E-2</v>
      </c>
      <c r="Y42" s="3">
        <f t="shared" si="11"/>
        <v>4.2852657614971743E-2</v>
      </c>
      <c r="Z42" s="3">
        <f t="shared" si="12"/>
        <v>2.9847722299795182E-2</v>
      </c>
      <c r="AA42" s="19">
        <f t="shared" si="13"/>
        <v>4.0290210832461204E-2</v>
      </c>
      <c r="AB42" s="3"/>
      <c r="AC42" s="5">
        <f t="shared" si="14"/>
        <v>-22405180.866601922</v>
      </c>
      <c r="AD42" s="5">
        <f t="shared" si="15"/>
        <v>73827475.585946277</v>
      </c>
      <c r="AE42" s="5">
        <f t="shared" si="16"/>
        <v>51422294.719344355</v>
      </c>
      <c r="AF42" s="5"/>
      <c r="AG42" s="15">
        <f t="shared" si="17"/>
        <v>431</v>
      </c>
      <c r="AH42" s="4">
        <f t="shared" si="29"/>
        <v>0.37788577846876947</v>
      </c>
      <c r="AI42" s="5">
        <f t="shared" si="18"/>
        <v>163</v>
      </c>
      <c r="AK42" s="5">
        <f t="shared" si="19"/>
        <v>192453.4897917404</v>
      </c>
      <c r="AL42" s="5">
        <f t="shared" si="20"/>
        <v>4860.9735760580888</v>
      </c>
      <c r="AM42" s="5">
        <f t="shared" si="30"/>
        <v>-30577580.143156219</v>
      </c>
      <c r="AN42" s="15"/>
      <c r="AO42" s="15"/>
      <c r="AP42" s="15"/>
      <c r="AQ42" s="15"/>
    </row>
    <row r="43" spans="1:43" x14ac:dyDescent="0.2">
      <c r="A43">
        <f t="shared" si="21"/>
        <v>21</v>
      </c>
      <c r="B43" s="4">
        <f t="shared" si="2"/>
        <v>0.02</v>
      </c>
      <c r="C43" s="4">
        <f t="shared" si="22"/>
        <v>0.13</v>
      </c>
      <c r="D43" s="4">
        <f t="shared" si="23"/>
        <v>0.65704681981505675</v>
      </c>
      <c r="E43" s="4">
        <f t="shared" si="3"/>
        <v>0.90032452258626561</v>
      </c>
      <c r="F43" s="3">
        <f t="shared" si="4"/>
        <v>1.1430604472252657</v>
      </c>
      <c r="G43" s="16">
        <f t="shared" si="24"/>
        <v>-0.10282975575248374</v>
      </c>
      <c r="H43" s="16">
        <f t="shared" si="25"/>
        <v>-0.69856459609674293</v>
      </c>
      <c r="I43" s="4">
        <f t="shared" si="5"/>
        <v>1.4999999999999999E-2</v>
      </c>
      <c r="J43" s="20">
        <f t="shared" si="6"/>
        <v>0.72978887426905681</v>
      </c>
      <c r="K43" s="4">
        <f t="shared" si="7"/>
        <v>-0.27654427435820511</v>
      </c>
      <c r="L43" s="4">
        <f t="shared" si="8"/>
        <v>0.83419279700201121</v>
      </c>
      <c r="M43" s="4">
        <f t="shared" si="26"/>
        <v>0.55764852264380615</v>
      </c>
      <c r="N43" s="4">
        <f t="shared" si="9"/>
        <v>3.082211090836149E-2</v>
      </c>
      <c r="O43" s="4">
        <f t="shared" si="27"/>
        <v>3.2283963069539255E-2</v>
      </c>
      <c r="P43" s="4"/>
      <c r="Q43" s="3">
        <v>2.7799999999999998E-2</v>
      </c>
      <c r="R43" s="3">
        <v>5.2400000000000002E-2</v>
      </c>
      <c r="S43" s="3">
        <v>1.17E-2</v>
      </c>
      <c r="T43" s="3">
        <v>4.2200000000000001E-2</v>
      </c>
      <c r="U43" s="3">
        <f t="shared" si="28"/>
        <v>2.5000000000000001E-2</v>
      </c>
      <c r="V43" s="3">
        <f t="shared" si="1"/>
        <v>5.2400000000000002E-2</v>
      </c>
      <c r="X43" s="3">
        <f t="shared" si="10"/>
        <v>-1.4490919976369948E-2</v>
      </c>
      <c r="Y43" s="3">
        <f t="shared" si="11"/>
        <v>4.3711702562905387E-2</v>
      </c>
      <c r="Z43" s="3">
        <f t="shared" si="12"/>
        <v>2.9220782586535442E-2</v>
      </c>
      <c r="AA43" s="19">
        <f t="shared" si="13"/>
        <v>4.0040049412650262E-2</v>
      </c>
      <c r="AB43" s="3"/>
      <c r="AC43" s="5">
        <f t="shared" si="14"/>
        <v>-24965267.040977642</v>
      </c>
      <c r="AD43" s="5">
        <f t="shared" si="15"/>
        <v>75307456.605808243</v>
      </c>
      <c r="AE43" s="5">
        <f t="shared" si="16"/>
        <v>50342189.564830609</v>
      </c>
      <c r="AF43" s="5"/>
      <c r="AG43" s="15">
        <f t="shared" si="17"/>
        <v>424</v>
      </c>
      <c r="AH43" s="4">
        <f t="shared" si="29"/>
        <v>0.39477998893500216</v>
      </c>
      <c r="AI43" s="5">
        <f t="shared" si="18"/>
        <v>168</v>
      </c>
      <c r="AK43" s="5">
        <f t="shared" si="19"/>
        <v>191493.62400696319</v>
      </c>
      <c r="AL43" s="5">
        <f t="shared" si="20"/>
        <v>4177.9283437274044</v>
      </c>
      <c r="AM43" s="5">
        <f t="shared" si="30"/>
        <v>-31469036.871423613</v>
      </c>
    </row>
    <row r="44" spans="1:43" x14ac:dyDescent="0.2">
      <c r="A44">
        <f t="shared" si="21"/>
        <v>22</v>
      </c>
      <c r="B44" s="4">
        <f t="shared" si="2"/>
        <v>0.02</v>
      </c>
      <c r="C44" s="4">
        <f t="shared" si="22"/>
        <v>0.13</v>
      </c>
      <c r="D44" s="4">
        <f t="shared" si="23"/>
        <v>0.64403642108314141</v>
      </c>
      <c r="E44" s="4">
        <f t="shared" si="3"/>
        <v>0.89583413529652833</v>
      </c>
      <c r="F44" s="3">
        <f t="shared" si="4"/>
        <v>1.2016664095785734</v>
      </c>
      <c r="G44" s="16">
        <f t="shared" si="24"/>
        <v>-0.17680779380157094</v>
      </c>
      <c r="H44" s="16">
        <f t="shared" si="25"/>
        <v>-0.78656184257861683</v>
      </c>
      <c r="I44" s="4">
        <f t="shared" si="5"/>
        <v>1.4999999999999999E-2</v>
      </c>
      <c r="J44" s="20">
        <f t="shared" si="6"/>
        <v>0.71892373343192617</v>
      </c>
      <c r="K44" s="4">
        <f t="shared" si="7"/>
        <v>-0.31029163516741409</v>
      </c>
      <c r="L44" s="4">
        <f t="shared" si="8"/>
        <v>0.86390650151396609</v>
      </c>
      <c r="M44" s="4">
        <f t="shared" si="26"/>
        <v>0.55361486634655199</v>
      </c>
      <c r="N44" s="4">
        <f t="shared" si="9"/>
        <v>2.9772941399300614E-2</v>
      </c>
      <c r="O44" s="4">
        <f t="shared" si="27"/>
        <v>3.2283963069539255E-2</v>
      </c>
      <c r="P44" s="4"/>
      <c r="Q44" s="3">
        <v>3.0499999999999999E-2</v>
      </c>
      <c r="R44" s="3">
        <v>5.0299999999999997E-2</v>
      </c>
      <c r="S44" s="3">
        <v>8.3999999999999995E-3</v>
      </c>
      <c r="T44" s="3">
        <v>4.1300000000000003E-2</v>
      </c>
      <c r="U44" s="3">
        <f t="shared" si="28"/>
        <v>2.5000000000000001E-2</v>
      </c>
      <c r="V44" s="3">
        <f t="shared" si="1"/>
        <v>5.0299999999999997E-2</v>
      </c>
      <c r="X44" s="3">
        <f t="shared" si="10"/>
        <v>-1.5607669248920928E-2</v>
      </c>
      <c r="Y44" s="3">
        <f t="shared" si="11"/>
        <v>4.3454497026152492E-2</v>
      </c>
      <c r="Z44" s="3">
        <f t="shared" si="12"/>
        <v>2.7846827777231565E-2</v>
      </c>
      <c r="AA44" s="19">
        <f t="shared" si="13"/>
        <v>3.8734049916949002E-2</v>
      </c>
      <c r="AB44" s="3"/>
      <c r="AC44" s="5">
        <f t="shared" si="14"/>
        <v>-26889226.586162902</v>
      </c>
      <c r="AD44" s="5">
        <f t="shared" si="15"/>
        <v>74864337.402891874</v>
      </c>
      <c r="AE44" s="5">
        <f t="shared" si="16"/>
        <v>47975110.816728972</v>
      </c>
      <c r="AF44" s="5"/>
      <c r="AG44" s="15">
        <f t="shared" si="17"/>
        <v>407</v>
      </c>
      <c r="AH44" s="4">
        <f t="shared" si="29"/>
        <v>0.40990897265215664</v>
      </c>
      <c r="AI44" s="5">
        <f t="shared" si="18"/>
        <v>167</v>
      </c>
      <c r="AK44" s="5">
        <f t="shared" si="19"/>
        <v>190538.54557275979</v>
      </c>
      <c r="AL44" s="5">
        <f t="shared" si="20"/>
        <v>3595.8512285762563</v>
      </c>
      <c r="AM44" s="5">
        <f t="shared" si="30"/>
        <v>-31219429.955478646</v>
      </c>
    </row>
    <row r="45" spans="1:43" x14ac:dyDescent="0.2">
      <c r="A45">
        <f t="shared" si="21"/>
        <v>23</v>
      </c>
      <c r="B45" s="4">
        <f t="shared" si="2"/>
        <v>0.02</v>
      </c>
      <c r="C45" s="4">
        <f t="shared" si="22"/>
        <v>0.13</v>
      </c>
      <c r="D45" s="4">
        <f t="shared" si="23"/>
        <v>0.63128364550692595</v>
      </c>
      <c r="E45" s="4">
        <f t="shared" si="3"/>
        <v>0.89136614390683133</v>
      </c>
      <c r="F45" s="3">
        <f t="shared" si="4"/>
        <v>1.2632771638759073</v>
      </c>
      <c r="G45" s="16">
        <f t="shared" si="24"/>
        <v>-0.24758563344261153</v>
      </c>
      <c r="H45" s="16">
        <f t="shared" si="25"/>
        <v>-0.87104373147326508</v>
      </c>
      <c r="I45" s="4">
        <f t="shared" si="5"/>
        <v>1.4999999999999999E-2</v>
      </c>
      <c r="J45" s="20">
        <f t="shared" si="6"/>
        <v>0.70822035346779999</v>
      </c>
      <c r="K45" s="4">
        <f t="shared" si="7"/>
        <v>-0.3456569724687627</v>
      </c>
      <c r="L45" s="4">
        <f t="shared" si="8"/>
        <v>0.89467859952799489</v>
      </c>
      <c r="M45" s="4">
        <f t="shared" si="26"/>
        <v>0.54902162705923219</v>
      </c>
      <c r="N45" s="4">
        <f t="shared" si="9"/>
        <v>2.8768403790267696E-2</v>
      </c>
      <c r="O45" s="4">
        <f t="shared" si="27"/>
        <v>3.2283963069539255E-2</v>
      </c>
      <c r="P45" s="4"/>
      <c r="Q45" s="3">
        <v>3.3399999999999999E-2</v>
      </c>
      <c r="R45" s="3">
        <v>4.6899999999999997E-2</v>
      </c>
      <c r="S45" s="3">
        <v>5.8999999999999999E-3</v>
      </c>
      <c r="T45" s="3">
        <v>3.9899999999999998E-2</v>
      </c>
      <c r="U45" s="3">
        <f t="shared" si="28"/>
        <v>2.5000000000000001E-2</v>
      </c>
      <c r="V45" s="3">
        <f t="shared" si="1"/>
        <v>4.6899999999999997E-2</v>
      </c>
      <c r="X45" s="3">
        <f t="shared" si="10"/>
        <v>-1.6211312008784971E-2</v>
      </c>
      <c r="Y45" s="3">
        <f t="shared" si="11"/>
        <v>4.196042631786296E-2</v>
      </c>
      <c r="Z45" s="3">
        <f t="shared" si="12"/>
        <v>2.5749114309077989E-2</v>
      </c>
      <c r="AA45" s="19">
        <f t="shared" si="13"/>
        <v>3.6357489844788399E-2</v>
      </c>
      <c r="AB45" s="3"/>
      <c r="AC45" s="5">
        <f t="shared" si="14"/>
        <v>-27929195.250811737</v>
      </c>
      <c r="AD45" s="5">
        <f t="shared" si="15"/>
        <v>72290320.413537517</v>
      </c>
      <c r="AE45" s="5">
        <f t="shared" si="16"/>
        <v>44361125.162725776</v>
      </c>
      <c r="AF45" s="5"/>
      <c r="AG45" s="15">
        <f t="shared" si="17"/>
        <v>380</v>
      </c>
      <c r="AH45" s="4">
        <f t="shared" si="29"/>
        <v>0.42335464148371826</v>
      </c>
      <c r="AI45" s="5">
        <f t="shared" si="18"/>
        <v>161</v>
      </c>
      <c r="AK45" s="5">
        <f t="shared" si="19"/>
        <v>189588.23061211957</v>
      </c>
      <c r="AL45" s="5">
        <f t="shared" si="20"/>
        <v>3098.9365208283666</v>
      </c>
      <c r="AM45" s="5">
        <f t="shared" si="30"/>
        <v>-30024776.348697882</v>
      </c>
    </row>
    <row r="46" spans="1:43" x14ac:dyDescent="0.2">
      <c r="A46">
        <f t="shared" si="21"/>
        <v>24</v>
      </c>
      <c r="B46" s="4">
        <f t="shared" si="2"/>
        <v>0.02</v>
      </c>
      <c r="C46" s="4">
        <f t="shared" si="22"/>
        <v>0.13</v>
      </c>
      <c r="D46" s="4">
        <f t="shared" si="23"/>
        <v>0.61878339180614084</v>
      </c>
      <c r="E46" s="4">
        <f t="shared" si="3"/>
        <v>0.88692043671715737</v>
      </c>
      <c r="F46" s="3">
        <f t="shared" si="4"/>
        <v>1.3280467690946194</v>
      </c>
      <c r="G46" s="16">
        <f t="shared" si="24"/>
        <v>-0.31546486634893156</v>
      </c>
      <c r="H46" s="16">
        <f t="shared" si="25"/>
        <v>-0.95233219947255787</v>
      </c>
      <c r="I46" s="4">
        <f t="shared" si="5"/>
        <v>1.4999999999999999E-2</v>
      </c>
      <c r="J46" s="20">
        <f t="shared" si="6"/>
        <v>0.69767632607103103</v>
      </c>
      <c r="K46" s="4">
        <f t="shared" si="7"/>
        <v>-0.38260929073944655</v>
      </c>
      <c r="L46" s="4">
        <f t="shared" si="8"/>
        <v>0.92654679071243695</v>
      </c>
      <c r="M46" s="4">
        <f t="shared" si="26"/>
        <v>0.54393749997299046</v>
      </c>
      <c r="N46" s="4">
        <f t="shared" si="9"/>
        <v>2.7807075141337286E-2</v>
      </c>
      <c r="O46" s="4">
        <f t="shared" si="27"/>
        <v>3.2283963069539255E-2</v>
      </c>
      <c r="P46" s="4"/>
      <c r="Q46" s="3">
        <v>3.6400000000000002E-2</v>
      </c>
      <c r="R46" s="3">
        <v>4.2500000000000003E-2</v>
      </c>
      <c r="S46" s="3">
        <v>4.1000000000000003E-3</v>
      </c>
      <c r="T46" s="3">
        <v>3.7999999999999999E-2</v>
      </c>
      <c r="U46" s="3">
        <f t="shared" si="28"/>
        <v>2.5000000000000001E-2</v>
      </c>
      <c r="V46" s="3">
        <f t="shared" si="1"/>
        <v>4.2500000000000003E-2</v>
      </c>
      <c r="X46" s="3">
        <f t="shared" si="10"/>
        <v>-1.626089485642648E-2</v>
      </c>
      <c r="Y46" s="3">
        <f t="shared" si="11"/>
        <v>3.9378238605278573E-2</v>
      </c>
      <c r="Z46" s="3">
        <f t="shared" si="12"/>
        <v>2.3117343748852097E-2</v>
      </c>
      <c r="AA46" s="19">
        <f t="shared" si="13"/>
        <v>3.313476878173232E-2</v>
      </c>
      <c r="AB46" s="3"/>
      <c r="AC46" s="5">
        <f t="shared" si="14"/>
        <v>-28014617.641801465</v>
      </c>
      <c r="AD46" s="5">
        <f t="shared" si="15"/>
        <v>67841672.163480073</v>
      </c>
      <c r="AE46" s="5">
        <f t="shared" si="16"/>
        <v>39827054.521678619</v>
      </c>
      <c r="AF46" s="5"/>
      <c r="AG46" s="15">
        <f t="shared" si="17"/>
        <v>344</v>
      </c>
      <c r="AH46" s="4">
        <f t="shared" si="29"/>
        <v>0.43520744936786721</v>
      </c>
      <c r="AI46" s="5">
        <f t="shared" si="18"/>
        <v>150</v>
      </c>
      <c r="AK46" s="5">
        <f t="shared" si="19"/>
        <v>188642.65536711906</v>
      </c>
      <c r="AL46" s="5">
        <f t="shared" si="20"/>
        <v>2674.0174684157146</v>
      </c>
      <c r="AM46" s="5">
        <f t="shared" si="30"/>
        <v>-27895295.684805501</v>
      </c>
    </row>
    <row r="47" spans="1:43" x14ac:dyDescent="0.2">
      <c r="A47">
        <f t="shared" si="21"/>
        <v>25</v>
      </c>
      <c r="B47" s="4">
        <f t="shared" si="2"/>
        <v>0.02</v>
      </c>
      <c r="C47" s="4">
        <f t="shared" si="22"/>
        <v>0.13</v>
      </c>
      <c r="D47" s="4">
        <f t="shared" si="23"/>
        <v>0.60653065971263342</v>
      </c>
      <c r="E47" s="4">
        <f t="shared" si="3"/>
        <v>0.88249690258459534</v>
      </c>
      <c r="F47" s="3">
        <f t="shared" si="4"/>
        <v>1.3961371829847367</v>
      </c>
      <c r="G47" s="16">
        <f t="shared" si="24"/>
        <v>-0.38070656634745409</v>
      </c>
      <c r="H47" s="16">
        <f t="shared" si="25"/>
        <v>-1.0307065663474542</v>
      </c>
      <c r="I47" s="4">
        <f t="shared" si="5"/>
        <v>1.4999999999999999E-2</v>
      </c>
      <c r="J47" s="20">
        <f t="shared" si="6"/>
        <v>0.68728927879097224</v>
      </c>
      <c r="K47" s="4">
        <f t="shared" si="7"/>
        <v>-0.42112508968828</v>
      </c>
      <c r="L47" s="4">
        <f t="shared" si="8"/>
        <v>0.95955011758683928</v>
      </c>
      <c r="M47" s="4">
        <f t="shared" si="26"/>
        <v>0.53842502789855928</v>
      </c>
      <c r="N47" s="4">
        <f t="shared" si="9"/>
        <v>2.688734863351196E-2</v>
      </c>
      <c r="O47" s="4">
        <f t="shared" si="27"/>
        <v>3.2283963069539255E-2</v>
      </c>
      <c r="P47" s="4"/>
      <c r="Q47" s="3">
        <v>3.9399999999999998E-2</v>
      </c>
      <c r="R47" s="3">
        <v>3.7400000000000003E-2</v>
      </c>
      <c r="S47" s="3">
        <v>2.7000000000000001E-3</v>
      </c>
      <c r="T47" s="3">
        <v>3.5499999999999997E-2</v>
      </c>
      <c r="U47" s="3">
        <f t="shared" si="28"/>
        <v>2.5000000000000001E-2</v>
      </c>
      <c r="V47" s="3">
        <f t="shared" si="1"/>
        <v>3.7400000000000003E-2</v>
      </c>
      <c r="X47" s="3">
        <f t="shared" si="10"/>
        <v>-1.5750078354341671E-2</v>
      </c>
      <c r="Y47" s="3">
        <f t="shared" si="11"/>
        <v>3.5887174397747794E-2</v>
      </c>
      <c r="Z47" s="3">
        <f t="shared" si="12"/>
        <v>2.0137096043406119E-2</v>
      </c>
      <c r="AA47" s="19">
        <f t="shared" si="13"/>
        <v>2.9299301858498054E-2</v>
      </c>
      <c r="AB47" s="3"/>
      <c r="AC47" s="5">
        <f t="shared" si="14"/>
        <v>-27134572.040536616</v>
      </c>
      <c r="AD47" s="5">
        <f t="shared" si="15"/>
        <v>61827192.037972011</v>
      </c>
      <c r="AE47" s="5">
        <f t="shared" si="16"/>
        <v>34692619.997435391</v>
      </c>
      <c r="AF47" s="5"/>
      <c r="AG47" s="15">
        <f t="shared" si="17"/>
        <v>303</v>
      </c>
      <c r="AH47" s="4">
        <f t="shared" si="29"/>
        <v>0.44556242430526849</v>
      </c>
      <c r="AI47" s="5">
        <f t="shared" si="18"/>
        <v>135</v>
      </c>
      <c r="AK47" s="5">
        <f t="shared" si="19"/>
        <v>187701.79619832791</v>
      </c>
      <c r="AL47" s="5">
        <f t="shared" si="20"/>
        <v>2310.0929866940492</v>
      </c>
      <c r="AM47" s="5">
        <f t="shared" si="30"/>
        <v>-25027879.933570571</v>
      </c>
    </row>
    <row r="48" spans="1:43" x14ac:dyDescent="0.2">
      <c r="A48">
        <f t="shared" si="21"/>
        <v>26</v>
      </c>
      <c r="B48" s="4">
        <f t="shared" si="2"/>
        <v>0.02</v>
      </c>
      <c r="C48" s="4">
        <f t="shared" si="22"/>
        <v>0.13</v>
      </c>
      <c r="D48" s="4">
        <f t="shared" si="23"/>
        <v>0.59452054797019438</v>
      </c>
      <c r="E48" s="4">
        <f t="shared" si="3"/>
        <v>0.87809543092056142</v>
      </c>
      <c r="F48" s="3">
        <f t="shared" si="4"/>
        <v>1.4677186670476978</v>
      </c>
      <c r="G48" s="16">
        <f t="shared" si="24"/>
        <v>-0.44353816430497511</v>
      </c>
      <c r="H48" s="16">
        <f t="shared" si="25"/>
        <v>-1.1064107010720372</v>
      </c>
      <c r="I48" s="4">
        <f t="shared" si="5"/>
        <v>1.4999999999999999E-2</v>
      </c>
      <c r="J48" s="20">
        <f t="shared" si="6"/>
        <v>0.67705687449816465</v>
      </c>
      <c r="K48" s="4">
        <f t="shared" si="7"/>
        <v>-0.46118802513329937</v>
      </c>
      <c r="L48" s="4">
        <f t="shared" si="8"/>
        <v>0.9937290133539266</v>
      </c>
      <c r="M48" s="4">
        <f t="shared" si="26"/>
        <v>0.53254098822062723</v>
      </c>
      <c r="N48" s="4">
        <f t="shared" si="9"/>
        <v>2.6007512334522736E-2</v>
      </c>
      <c r="O48" s="4">
        <f t="shared" si="27"/>
        <v>3.2283963069539255E-2</v>
      </c>
      <c r="P48" s="4"/>
      <c r="Q48" s="3">
        <v>4.24E-2</v>
      </c>
      <c r="R48" s="3">
        <v>3.1899999999999998E-2</v>
      </c>
      <c r="S48" s="3">
        <v>1.6999999999999999E-3</v>
      </c>
      <c r="T48" s="3">
        <v>3.2599999999999997E-2</v>
      </c>
      <c r="U48" s="3">
        <f t="shared" si="28"/>
        <v>2.5000000000000001E-2</v>
      </c>
      <c r="V48" s="3">
        <f t="shared" si="1"/>
        <v>3.1899999999999998E-2</v>
      </c>
      <c r="X48" s="3">
        <f t="shared" si="10"/>
        <v>-1.4711898001752249E-2</v>
      </c>
      <c r="Y48" s="3">
        <f t="shared" si="11"/>
        <v>3.1699955525990253E-2</v>
      </c>
      <c r="Z48" s="3">
        <f t="shared" si="12"/>
        <v>1.6988057524238008E-2</v>
      </c>
      <c r="AA48" s="19">
        <f t="shared" si="13"/>
        <v>2.5091034688673054E-2</v>
      </c>
      <c r="AB48" s="3"/>
      <c r="AC48" s="5">
        <f t="shared" si="14"/>
        <v>-25345972.71203601</v>
      </c>
      <c r="AD48" s="5">
        <f t="shared" si="15"/>
        <v>54613361.759224266</v>
      </c>
      <c r="AE48" s="5">
        <f t="shared" si="16"/>
        <v>29267389.04718826</v>
      </c>
      <c r="AF48" s="5"/>
      <c r="AG48" s="15">
        <f t="shared" si="17"/>
        <v>258</v>
      </c>
      <c r="AH48" s="4">
        <f t="shared" si="29"/>
        <v>0.45451622819214693</v>
      </c>
      <c r="AI48" s="5">
        <f t="shared" si="18"/>
        <v>117</v>
      </c>
      <c r="AK48" s="5">
        <f t="shared" si="19"/>
        <v>186765.62958421788</v>
      </c>
      <c r="AL48" s="5">
        <f t="shared" si="20"/>
        <v>1997.9461295985152</v>
      </c>
      <c r="AM48" s="5">
        <f t="shared" si="30"/>
        <v>-21617818.964190468</v>
      </c>
    </row>
    <row r="49" spans="1:39" x14ac:dyDescent="0.2">
      <c r="A49">
        <f t="shared" si="21"/>
        <v>27</v>
      </c>
      <c r="B49" s="4">
        <f t="shared" si="2"/>
        <v>0.02</v>
      </c>
      <c r="C49" s="4">
        <f t="shared" si="22"/>
        <v>0.13</v>
      </c>
      <c r="D49" s="4">
        <f t="shared" si="23"/>
        <v>0.58274825237398964</v>
      </c>
      <c r="E49" s="4">
        <f t="shared" si="3"/>
        <v>0.87371591168803431</v>
      </c>
      <c r="F49" s="3">
        <f t="shared" si="4"/>
        <v>1.5429702122787898</v>
      </c>
      <c r="G49" s="16">
        <f t="shared" si="24"/>
        <v>-0.50415893622430419</v>
      </c>
      <c r="H49" s="16">
        <f t="shared" si="25"/>
        <v>-1.1796587511761665</v>
      </c>
      <c r="I49" s="4">
        <f t="shared" si="5"/>
        <v>1.4999999999999999E-2</v>
      </c>
      <c r="J49" s="20">
        <f t="shared" si="6"/>
        <v>0.66697681085847438</v>
      </c>
      <c r="K49" s="4">
        <f t="shared" si="7"/>
        <v>-0.50278854975099663</v>
      </c>
      <c r="L49" s="4">
        <f t="shared" si="8"/>
        <v>1.0291253514353305</v>
      </c>
      <c r="M49" s="4">
        <f t="shared" si="26"/>
        <v>0.52633680168433383</v>
      </c>
      <c r="N49" s="4">
        <f t="shared" si="9"/>
        <v>2.5165806226114248E-2</v>
      </c>
      <c r="O49" s="4">
        <f t="shared" si="27"/>
        <v>3.2283963069539255E-2</v>
      </c>
      <c r="P49" s="4"/>
      <c r="Q49" s="3">
        <v>4.5199999999999997E-2</v>
      </c>
      <c r="R49" s="3">
        <v>2.6700000000000002E-2</v>
      </c>
      <c r="S49" s="3">
        <v>1.1000000000000001E-3</v>
      </c>
      <c r="T49" s="3">
        <v>2.9399999999999999E-2</v>
      </c>
      <c r="U49" s="3">
        <f t="shared" si="28"/>
        <v>2.5000000000000001E-2</v>
      </c>
      <c r="V49" s="3">
        <f t="shared" si="1"/>
        <v>2.6700000000000002E-2</v>
      </c>
      <c r="X49" s="3">
        <f t="shared" si="10"/>
        <v>-1.3424454278351611E-2</v>
      </c>
      <c r="Y49" s="3">
        <f t="shared" si="11"/>
        <v>2.7477646883323326E-2</v>
      </c>
      <c r="Z49" s="3">
        <f t="shared" si="12"/>
        <v>1.4053192604971714E-2</v>
      </c>
      <c r="AA49" s="19">
        <f t="shared" si="13"/>
        <v>2.1069986806413359E-2</v>
      </c>
      <c r="AB49" s="3"/>
      <c r="AC49" s="5">
        <f t="shared" si="14"/>
        <v>-23127937.114065714</v>
      </c>
      <c r="AD49" s="5">
        <f t="shared" si="15"/>
        <v>47339078.072232731</v>
      </c>
      <c r="AE49" s="5">
        <f t="shared" si="16"/>
        <v>24211140.958167017</v>
      </c>
      <c r="AF49" s="5"/>
      <c r="AG49" s="15">
        <f t="shared" si="17"/>
        <v>216</v>
      </c>
      <c r="AH49" s="4">
        <f t="shared" si="29"/>
        <v>0.46216500868391358</v>
      </c>
      <c r="AI49" s="5">
        <f t="shared" si="18"/>
        <v>100</v>
      </c>
      <c r="AK49" s="5">
        <f t="shared" si="19"/>
        <v>185834.13212057477</v>
      </c>
      <c r="AL49" s="5">
        <f t="shared" si="20"/>
        <v>1729.8349987763454</v>
      </c>
      <c r="AM49" s="5">
        <f t="shared" si="30"/>
        <v>-18410429.712179843</v>
      </c>
    </row>
    <row r="50" spans="1:39" x14ac:dyDescent="0.2">
      <c r="A50">
        <f t="shared" si="21"/>
        <v>28</v>
      </c>
      <c r="B50" s="4">
        <f t="shared" si="2"/>
        <v>0.02</v>
      </c>
      <c r="C50" s="4">
        <f t="shared" si="22"/>
        <v>0.13</v>
      </c>
      <c r="D50" s="4">
        <f t="shared" si="23"/>
        <v>0.57120906384881487</v>
      </c>
      <c r="E50" s="4">
        <f t="shared" si="3"/>
        <v>0.86935823539880575</v>
      </c>
      <c r="F50" s="3">
        <f t="shared" si="4"/>
        <v>1.6220799867378703</v>
      </c>
      <c r="G50" s="16">
        <f t="shared" si="24"/>
        <v>-0.56274442509297218</v>
      </c>
      <c r="H50" s="16">
        <f t="shared" si="25"/>
        <v>-1.2506397659697659</v>
      </c>
      <c r="I50" s="4">
        <f t="shared" si="5"/>
        <v>1.4999999999999999E-2</v>
      </c>
      <c r="J50" s="20">
        <f t="shared" si="6"/>
        <v>0.65704681981505675</v>
      </c>
      <c r="K50" s="4">
        <f t="shared" si="7"/>
        <v>-0.54592355264303738</v>
      </c>
      <c r="L50" s="4">
        <f t="shared" si="8"/>
        <v>1.0657824967717671</v>
      </c>
      <c r="M50" s="4">
        <f t="shared" si="26"/>
        <v>0.51985894412872968</v>
      </c>
      <c r="N50" s="4">
        <f t="shared" si="9"/>
        <v>2.4360463084949567E-2</v>
      </c>
      <c r="O50" s="4">
        <f t="shared" si="27"/>
        <v>3.2283963069539255E-2</v>
      </c>
      <c r="P50" s="4"/>
      <c r="Q50" s="3">
        <v>4.7699999999999999E-2</v>
      </c>
      <c r="R50" s="3">
        <v>2.1899999999999999E-2</v>
      </c>
      <c r="S50" s="3">
        <v>5.9999999999999995E-4</v>
      </c>
      <c r="T50" s="3">
        <v>2.5899999999999999E-2</v>
      </c>
      <c r="U50" s="3">
        <f t="shared" si="28"/>
        <v>2.5000000000000001E-2</v>
      </c>
      <c r="V50" s="3">
        <f t="shared" si="1"/>
        <v>2.1899999999999999E-2</v>
      </c>
      <c r="X50" s="3">
        <f t="shared" si="10"/>
        <v>-1.1955725802882518E-2</v>
      </c>
      <c r="Y50" s="3">
        <f t="shared" si="11"/>
        <v>2.33406366793017E-2</v>
      </c>
      <c r="Z50" s="3">
        <f t="shared" si="12"/>
        <v>1.138491087641918E-2</v>
      </c>
      <c r="AA50" s="19">
        <f t="shared" si="13"/>
        <v>1.732739666805444E-2</v>
      </c>
      <c r="AB50" s="3"/>
      <c r="AC50" s="5">
        <f t="shared" si="14"/>
        <v>-20597580.265738182</v>
      </c>
      <c r="AD50" s="5">
        <f t="shared" si="15"/>
        <v>40211748.360725902</v>
      </c>
      <c r="AE50" s="5">
        <f t="shared" si="16"/>
        <v>19614168.09498772</v>
      </c>
      <c r="AF50" s="5"/>
      <c r="AG50" s="15">
        <f t="shared" si="17"/>
        <v>177</v>
      </c>
      <c r="AH50" s="4">
        <f t="shared" si="29"/>
        <v>0.46860285865536078</v>
      </c>
      <c r="AI50" s="5">
        <f t="shared" si="18"/>
        <v>83</v>
      </c>
      <c r="AK50" s="5">
        <f t="shared" si="19"/>
        <v>184907.28051991359</v>
      </c>
      <c r="AL50" s="5">
        <f t="shared" si="20"/>
        <v>1499.2411974344855</v>
      </c>
      <c r="AM50" s="5">
        <f t="shared" si="30"/>
        <v>-15222867.263765765</v>
      </c>
    </row>
    <row r="51" spans="1:39" x14ac:dyDescent="0.2">
      <c r="A51">
        <f t="shared" si="21"/>
        <v>29</v>
      </c>
      <c r="B51" s="4">
        <f t="shared" si="2"/>
        <v>0.02</v>
      </c>
      <c r="C51" s="4">
        <f t="shared" si="22"/>
        <v>0.13</v>
      </c>
      <c r="D51" s="4">
        <f t="shared" si="23"/>
        <v>0.55989836656540204</v>
      </c>
      <c r="E51" s="4">
        <f t="shared" si="3"/>
        <v>0.8650222931107413</v>
      </c>
      <c r="F51" s="3">
        <f t="shared" si="4"/>
        <v>1.7052458060675275</v>
      </c>
      <c r="G51" s="16">
        <f t="shared" si="24"/>
        <v>-0.61945003421724354</v>
      </c>
      <c r="H51" s="16">
        <f t="shared" si="25"/>
        <v>-1.3195214591447291</v>
      </c>
      <c r="I51" s="4">
        <f t="shared" si="5"/>
        <v>1.4999999999999999E-2</v>
      </c>
      <c r="J51" s="20">
        <f t="shared" si="6"/>
        <v>0.64726466707803465</v>
      </c>
      <c r="K51" s="4">
        <f t="shared" si="7"/>
        <v>-0.59059601005087869</v>
      </c>
      <c r="L51" s="4">
        <f t="shared" si="8"/>
        <v>1.1037453589505131</v>
      </c>
      <c r="M51" s="4">
        <f t="shared" si="26"/>
        <v>0.51314934889963437</v>
      </c>
      <c r="N51" s="4">
        <f t="shared" si="9"/>
        <v>2.3589737384567142E-2</v>
      </c>
      <c r="O51" s="4">
        <f t="shared" si="27"/>
        <v>3.2283963069539255E-2</v>
      </c>
      <c r="P51" s="4"/>
      <c r="Q51" s="3">
        <v>4.9599999999999998E-2</v>
      </c>
      <c r="R51" s="3">
        <v>1.7399999999999999E-2</v>
      </c>
      <c r="S51" s="3">
        <v>4.0000000000000002E-4</v>
      </c>
      <c r="T51" s="3">
        <v>2.2100000000000002E-2</v>
      </c>
      <c r="U51" s="3">
        <f t="shared" si="28"/>
        <v>2.5000000000000001E-2</v>
      </c>
      <c r="V51" s="3">
        <f t="shared" si="1"/>
        <v>1.7399999999999999E-2</v>
      </c>
      <c r="X51" s="3">
        <f t="shared" si="10"/>
        <v>-1.0276370574885289E-2</v>
      </c>
      <c r="Y51" s="3">
        <f t="shared" si="11"/>
        <v>1.9205169245738927E-2</v>
      </c>
      <c r="Z51" s="3">
        <f t="shared" si="12"/>
        <v>8.9287986708536382E-3</v>
      </c>
      <c r="AA51" s="19">
        <f t="shared" si="13"/>
        <v>1.3794664107282681E-2</v>
      </c>
      <c r="AB51" s="3"/>
      <c r="AC51" s="5">
        <f t="shared" si="14"/>
        <v>-17704351.140742678</v>
      </c>
      <c r="AD51" s="5">
        <f t="shared" si="15"/>
        <v>33087076.567180883</v>
      </c>
      <c r="AE51" s="5">
        <f t="shared" si="16"/>
        <v>15382725.426438205</v>
      </c>
      <c r="AF51" s="5"/>
      <c r="AG51" s="15">
        <f t="shared" si="17"/>
        <v>141</v>
      </c>
      <c r="AH51" s="4">
        <f t="shared" si="29"/>
        <v>0.4739207397318474</v>
      </c>
      <c r="AI51" s="5">
        <f t="shared" si="18"/>
        <v>67</v>
      </c>
      <c r="AK51" s="5">
        <f t="shared" si="19"/>
        <v>183985.05161089601</v>
      </c>
      <c r="AL51" s="5">
        <f t="shared" si="20"/>
        <v>1300.6642604614017</v>
      </c>
      <c r="AM51" s="5">
        <f t="shared" si="30"/>
        <v>-12239853.952479118</v>
      </c>
    </row>
    <row r="52" spans="1:39" x14ac:dyDescent="0.2">
      <c r="A52">
        <f t="shared" si="21"/>
        <v>30</v>
      </c>
      <c r="B52" s="4">
        <f t="shared" si="2"/>
        <v>0.02</v>
      </c>
      <c r="C52" s="4">
        <f t="shared" si="22"/>
        <v>0.13</v>
      </c>
      <c r="D52" s="4">
        <f t="shared" si="23"/>
        <v>0.54881163609402639</v>
      </c>
      <c r="E52" s="4">
        <f t="shared" si="3"/>
        <v>0.8607079764250577</v>
      </c>
      <c r="F52" s="3">
        <f t="shared" si="4"/>
        <v>1.7926756281352259</v>
      </c>
      <c r="G52" s="16">
        <f t="shared" si="24"/>
        <v>-0.67441397045018436</v>
      </c>
      <c r="H52" s="16">
        <f t="shared" si="25"/>
        <v>-1.3864532952069002</v>
      </c>
      <c r="I52" s="4">
        <f t="shared" si="5"/>
        <v>1.4999999999999999E-2</v>
      </c>
      <c r="J52" s="20">
        <f t="shared" si="6"/>
        <v>0.63762815162177333</v>
      </c>
      <c r="K52" s="4">
        <f t="shared" si="7"/>
        <v>-0.63681465496085021</v>
      </c>
      <c r="L52" s="4">
        <f t="shared" si="8"/>
        <v>1.1430604472252655</v>
      </c>
      <c r="M52" s="4">
        <f t="shared" si="26"/>
        <v>0.50624579226441524</v>
      </c>
      <c r="N52" s="4">
        <f t="shared" si="9"/>
        <v>2.2851925323392055E-2</v>
      </c>
      <c r="O52" s="4">
        <f t="shared" si="27"/>
        <v>3.2283963069539255E-2</v>
      </c>
      <c r="P52" s="4"/>
      <c r="Q52" s="3">
        <v>5.0500000000000003E-2</v>
      </c>
      <c r="R52" s="3">
        <v>1.34E-2</v>
      </c>
      <c r="S52" s="3">
        <v>2.0000000000000001E-4</v>
      </c>
      <c r="T52" s="3">
        <v>1.84E-2</v>
      </c>
      <c r="U52" s="3">
        <f t="shared" si="28"/>
        <v>2.5000000000000001E-2</v>
      </c>
      <c r="V52" s="3">
        <f t="shared" si="1"/>
        <v>1.34E-2</v>
      </c>
      <c r="X52" s="3">
        <f t="shared" si="10"/>
        <v>-8.5333163764753934E-3</v>
      </c>
      <c r="Y52" s="3">
        <f t="shared" si="11"/>
        <v>1.5317009992818558E-2</v>
      </c>
      <c r="Z52" s="3">
        <f t="shared" si="12"/>
        <v>6.7836936163431644E-3</v>
      </c>
      <c r="AA52" s="19">
        <f t="shared" si="13"/>
        <v>1.0638949361142853E-2</v>
      </c>
      <c r="AB52" s="3"/>
      <c r="AC52" s="5">
        <f t="shared" si="14"/>
        <v>-14701380.066362264</v>
      </c>
      <c r="AD52" s="5">
        <f t="shared" si="15"/>
        <v>26388472.599641658</v>
      </c>
      <c r="AE52" s="5">
        <f t="shared" si="16"/>
        <v>11687092.533279393</v>
      </c>
      <c r="AF52" s="5"/>
      <c r="AG52" s="15">
        <f t="shared" si="17"/>
        <v>109</v>
      </c>
      <c r="AH52" s="4">
        <f t="shared" si="29"/>
        <v>0.47820575858259895</v>
      </c>
      <c r="AI52" s="5">
        <f t="shared" si="18"/>
        <v>52</v>
      </c>
      <c r="AK52" s="5">
        <f t="shared" si="19"/>
        <v>183067.42233775122</v>
      </c>
      <c r="AL52" s="5">
        <f t="shared" si="20"/>
        <v>1129.4530111064178</v>
      </c>
      <c r="AM52" s="5">
        <f t="shared" si="30"/>
        <v>-9460774.4049855303</v>
      </c>
    </row>
    <row r="53" spans="1:39" x14ac:dyDescent="0.2">
      <c r="A53">
        <f t="shared" si="21"/>
        <v>31</v>
      </c>
      <c r="B53" s="4">
        <f t="shared" si="2"/>
        <v>0.02</v>
      </c>
      <c r="C53" s="4">
        <f t="shared" si="22"/>
        <v>0.13</v>
      </c>
      <c r="D53" s="4">
        <f t="shared" si="23"/>
        <v>0.53794443759467447</v>
      </c>
      <c r="E53" s="4">
        <f t="shared" si="3"/>
        <v>0.85641517748361351</v>
      </c>
      <c r="F53" s="3">
        <f t="shared" si="4"/>
        <v>1.8845880730362969</v>
      </c>
      <c r="G53" s="16">
        <f t="shared" si="24"/>
        <v>-0.72775967267034869</v>
      </c>
      <c r="H53" s="16">
        <f t="shared" si="25"/>
        <v>-1.4515690398382515</v>
      </c>
      <c r="I53" s="4">
        <f t="shared" si="5"/>
        <v>1.4999999999999999E-2</v>
      </c>
      <c r="J53" s="20">
        <f t="shared" si="6"/>
        <v>0.62813510518964089</v>
      </c>
      <c r="K53" s="4">
        <f t="shared" si="7"/>
        <v>-0.68459367017742534</v>
      </c>
      <c r="L53" s="4">
        <f t="shared" si="8"/>
        <v>1.1837759274957971</v>
      </c>
      <c r="M53" s="4">
        <f t="shared" si="26"/>
        <v>0.49918225731837174</v>
      </c>
      <c r="N53" s="4">
        <f t="shared" si="9"/>
        <v>2.2145378293057093E-2</v>
      </c>
      <c r="O53" s="4">
        <f t="shared" si="27"/>
        <v>3.2283963069539255E-2</v>
      </c>
      <c r="P53" s="4"/>
      <c r="Q53" s="3">
        <v>0.05</v>
      </c>
      <c r="R53" s="3">
        <v>1.01E-2</v>
      </c>
      <c r="S53" s="3">
        <v>1E-4</v>
      </c>
      <c r="T53" s="3">
        <v>1.4800000000000001E-2</v>
      </c>
      <c r="U53" s="3">
        <f t="shared" si="28"/>
        <v>2.5000000000000001E-2</v>
      </c>
      <c r="V53" s="3">
        <f t="shared" si="1"/>
        <v>1.01E-2</v>
      </c>
      <c r="X53" s="3">
        <f t="shared" si="10"/>
        <v>-6.9143960687919953E-3</v>
      </c>
      <c r="Y53" s="3">
        <f t="shared" si="11"/>
        <v>1.1956136867707551E-2</v>
      </c>
      <c r="Z53" s="3">
        <f t="shared" si="12"/>
        <v>5.0417407989155547E-3</v>
      </c>
      <c r="AA53" s="19">
        <f t="shared" si="13"/>
        <v>8.0265228885645513E-3</v>
      </c>
      <c r="AB53" s="3"/>
      <c r="AC53" s="5">
        <f t="shared" si="14"/>
        <v>-11912269.515390722</v>
      </c>
      <c r="AD53" s="5">
        <f t="shared" si="15"/>
        <v>20598288.457015537</v>
      </c>
      <c r="AE53" s="5">
        <f t="shared" si="16"/>
        <v>8686018.9416248146</v>
      </c>
      <c r="AF53" s="5"/>
      <c r="AG53" s="15">
        <f t="shared" si="17"/>
        <v>82</v>
      </c>
      <c r="AH53" s="4">
        <f t="shared" si="29"/>
        <v>0.48154070986438291</v>
      </c>
      <c r="AI53" s="5">
        <f t="shared" si="18"/>
        <v>39</v>
      </c>
      <c r="AK53" s="5">
        <f t="shared" si="19"/>
        <v>182154.36975969968</v>
      </c>
      <c r="AL53" s="5">
        <f t="shared" si="20"/>
        <v>981.66671890366547</v>
      </c>
      <c r="AM53" s="5">
        <f t="shared" si="30"/>
        <v>-7065735.4185910448</v>
      </c>
    </row>
    <row r="54" spans="1:39" x14ac:dyDescent="0.2">
      <c r="A54">
        <f t="shared" si="21"/>
        <v>32</v>
      </c>
      <c r="B54" s="4">
        <f t="shared" si="2"/>
        <v>0.02</v>
      </c>
      <c r="C54" s="4">
        <f t="shared" si="22"/>
        <v>0.13</v>
      </c>
      <c r="D54" s="4">
        <f t="shared" si="23"/>
        <v>0.52729242404304855</v>
      </c>
      <c r="E54" s="4">
        <f t="shared" si="3"/>
        <v>0.85214378896621135</v>
      </c>
      <c r="F54" s="3">
        <f t="shared" si="4"/>
        <v>1.9812129697580461</v>
      </c>
      <c r="G54" s="16">
        <f t="shared" si="24"/>
        <v>-0.77959782924784904</v>
      </c>
      <c r="H54" s="16">
        <f t="shared" si="25"/>
        <v>-1.5149888816818584</v>
      </c>
      <c r="I54" s="4">
        <f t="shared" si="5"/>
        <v>1.4999999999999999E-2</v>
      </c>
      <c r="J54" s="20">
        <f t="shared" si="6"/>
        <v>0.61878339180614084</v>
      </c>
      <c r="K54" s="4">
        <f t="shared" si="7"/>
        <v>-0.73395240727663924</v>
      </c>
      <c r="L54" s="4">
        <f t="shared" si="8"/>
        <v>1.2259416813172008</v>
      </c>
      <c r="M54" s="4">
        <f t="shared" si="26"/>
        <v>0.49198927404056159</v>
      </c>
      <c r="N54" s="4">
        <f t="shared" si="9"/>
        <v>2.1468511513003777E-2</v>
      </c>
      <c r="O54" s="4">
        <f t="shared" si="27"/>
        <v>3.2283963069539255E-2</v>
      </c>
      <c r="P54" s="4"/>
      <c r="Q54" s="3">
        <v>4.82E-2</v>
      </c>
      <c r="R54" s="3">
        <v>7.3000000000000001E-3</v>
      </c>
      <c r="S54" s="3">
        <v>1E-4</v>
      </c>
      <c r="T54" s="3">
        <v>1.1599999999999999E-2</v>
      </c>
      <c r="U54" s="3">
        <f t="shared" si="28"/>
        <v>2.5000000000000001E-2</v>
      </c>
      <c r="V54" s="3">
        <f t="shared" si="1"/>
        <v>7.3000000000000001E-3</v>
      </c>
      <c r="X54" s="3">
        <f t="shared" si="10"/>
        <v>-5.3578525731194666E-3</v>
      </c>
      <c r="Y54" s="3">
        <f t="shared" si="11"/>
        <v>8.9493742736155655E-3</v>
      </c>
      <c r="Z54" s="3">
        <f t="shared" si="12"/>
        <v>3.5915217004960998E-3</v>
      </c>
      <c r="AA54" s="19">
        <f t="shared" si="13"/>
        <v>5.8041662850920389E-3</v>
      </c>
      <c r="AB54" s="3"/>
      <c r="AC54" s="5">
        <f t="shared" si="14"/>
        <v>-9230623.0710152816</v>
      </c>
      <c r="AD54" s="5">
        <f t="shared" si="15"/>
        <v>15418173.515194351</v>
      </c>
      <c r="AE54" s="5">
        <f t="shared" si="16"/>
        <v>6187550.4441790711</v>
      </c>
      <c r="AF54" s="5"/>
      <c r="AG54" s="15">
        <f t="shared" si="17"/>
        <v>59</v>
      </c>
      <c r="AH54" s="4">
        <f t="shared" si="29"/>
        <v>0.48400381932567976</v>
      </c>
      <c r="AI54" s="5">
        <f t="shared" si="18"/>
        <v>29</v>
      </c>
      <c r="AK54" s="5">
        <f t="shared" si="19"/>
        <v>181245.87105037936</v>
      </c>
      <c r="AL54" s="5">
        <f t="shared" si="20"/>
        <v>853.96041534908511</v>
      </c>
      <c r="AM54" s="5">
        <f t="shared" si="30"/>
        <v>-5231365.4084158782</v>
      </c>
    </row>
    <row r="55" spans="1:39" x14ac:dyDescent="0.2">
      <c r="A55">
        <f t="shared" si="21"/>
        <v>33</v>
      </c>
      <c r="B55" s="4">
        <f t="shared" si="2"/>
        <v>0.02</v>
      </c>
      <c r="C55" s="4">
        <f t="shared" si="22"/>
        <v>0.13</v>
      </c>
      <c r="D55" s="4">
        <f t="shared" si="23"/>
        <v>0.51685133449169918</v>
      </c>
      <c r="E55" s="4">
        <f t="shared" si="3"/>
        <v>0.84789370408791576</v>
      </c>
      <c r="F55" s="3">
        <f t="shared" si="4"/>
        <v>2.0827919308719398</v>
      </c>
      <c r="G55" s="16">
        <f t="shared" si="24"/>
        <v>-0.83002806475201163</v>
      </c>
      <c r="H55" s="16">
        <f t="shared" si="25"/>
        <v>-1.5768212088019555</v>
      </c>
      <c r="I55" s="4">
        <f t="shared" si="5"/>
        <v>1.4999999999999999E-2</v>
      </c>
      <c r="J55" s="20">
        <f t="shared" si="6"/>
        <v>0.60957090729630925</v>
      </c>
      <c r="K55" s="4">
        <f t="shared" si="7"/>
        <v>-0.78491513238719346</v>
      </c>
      <c r="L55" s="4">
        <f t="shared" si="8"/>
        <v>1.2696093670110402</v>
      </c>
      <c r="M55" s="4">
        <f t="shared" si="26"/>
        <v>0.48469423462384675</v>
      </c>
      <c r="N55" s="4">
        <f t="shared" si="9"/>
        <v>2.0819809119440244E-2</v>
      </c>
      <c r="O55" s="4">
        <f t="shared" si="27"/>
        <v>3.2283963069539255E-2</v>
      </c>
      <c r="P55" s="4"/>
      <c r="Q55" s="3">
        <v>4.5100000000000001E-2</v>
      </c>
      <c r="R55" s="3">
        <v>5.1999999999999998E-3</v>
      </c>
      <c r="S55" s="3">
        <v>0</v>
      </c>
      <c r="T55" s="3">
        <v>8.6999999999999994E-3</v>
      </c>
      <c r="U55" s="3">
        <f t="shared" si="28"/>
        <v>2.5000000000000001E-2</v>
      </c>
      <c r="V55" s="3">
        <f t="shared" si="1"/>
        <v>5.1999999999999998E-3</v>
      </c>
      <c r="X55" s="3">
        <f t="shared" si="10"/>
        <v>-4.081558688413406E-3</v>
      </c>
      <c r="Y55" s="3">
        <f t="shared" si="11"/>
        <v>6.6019687084574088E-3</v>
      </c>
      <c r="Z55" s="3">
        <f t="shared" si="12"/>
        <v>2.5204100200440032E-3</v>
      </c>
      <c r="AA55" s="19">
        <f t="shared" si="13"/>
        <v>4.1347281995839161E-3</v>
      </c>
      <c r="AB55" s="3"/>
      <c r="AC55" s="5">
        <f t="shared" si="14"/>
        <v>-7031796.6537545482</v>
      </c>
      <c r="AD55" s="5">
        <f t="shared" si="15"/>
        <v>11374012.973060785</v>
      </c>
      <c r="AE55" s="5">
        <f t="shared" si="16"/>
        <v>4342216.3193062376</v>
      </c>
      <c r="AF55" s="5"/>
      <c r="AG55" s="15">
        <f t="shared" si="17"/>
        <v>42</v>
      </c>
      <c r="AH55" s="4">
        <f t="shared" si="29"/>
        <v>0.48566863582128927</v>
      </c>
      <c r="AI55" s="5">
        <f t="shared" si="18"/>
        <v>20</v>
      </c>
      <c r="AK55" s="5">
        <f t="shared" si="19"/>
        <v>180341.90349727514</v>
      </c>
      <c r="AL55" s="5">
        <f t="shared" si="20"/>
        <v>743.48987304533239</v>
      </c>
      <c r="AM55" s="5">
        <f t="shared" si="30"/>
        <v>-3591968.2724845964</v>
      </c>
    </row>
    <row r="56" spans="1:39" x14ac:dyDescent="0.2">
      <c r="A56">
        <f t="shared" si="21"/>
        <v>34</v>
      </c>
      <c r="B56" s="4">
        <f t="shared" si="2"/>
        <v>0.02</v>
      </c>
      <c r="C56" s="4">
        <f t="shared" si="22"/>
        <v>0.13</v>
      </c>
      <c r="D56" s="4">
        <f t="shared" si="23"/>
        <v>0.50661699236558955</v>
      </c>
      <c r="E56" s="4">
        <f t="shared" si="3"/>
        <v>0.84366481659638359</v>
      </c>
      <c r="F56" s="3">
        <f t="shared" si="4"/>
        <v>2.1895789566908803</v>
      </c>
      <c r="G56" s="16">
        <f t="shared" si="24"/>
        <v>-0.87914035853413264</v>
      </c>
      <c r="H56" s="16">
        <f t="shared" si="25"/>
        <v>-1.6371641048640218</v>
      </c>
      <c r="I56" s="4">
        <f t="shared" si="5"/>
        <v>1.4999999999999999E-2</v>
      </c>
      <c r="J56" s="20">
        <f t="shared" si="6"/>
        <v>0.6004955788122659</v>
      </c>
      <c r="K56" s="4">
        <f t="shared" si="7"/>
        <v>-0.8375107987742334</v>
      </c>
      <c r="L56" s="4">
        <f t="shared" si="8"/>
        <v>1.3148324829532474</v>
      </c>
      <c r="M56" s="4">
        <f t="shared" si="26"/>
        <v>0.47732168417901399</v>
      </c>
      <c r="N56" s="4">
        <f t="shared" si="9"/>
        <v>2.0197826670405799E-2</v>
      </c>
      <c r="O56" s="4">
        <f t="shared" si="27"/>
        <v>3.2283963069539255E-2</v>
      </c>
      <c r="P56" s="4"/>
      <c r="Q56" s="3">
        <v>4.1000000000000002E-2</v>
      </c>
      <c r="R56" s="3">
        <v>3.5000000000000001E-3</v>
      </c>
      <c r="S56" s="3">
        <v>0</v>
      </c>
      <c r="T56" s="3">
        <v>6.3E-3</v>
      </c>
      <c r="U56" s="3">
        <f t="shared" si="28"/>
        <v>2.5000000000000001E-2</v>
      </c>
      <c r="V56" s="3">
        <f t="shared" si="1"/>
        <v>3.5000000000000001E-3</v>
      </c>
      <c r="X56" s="3">
        <f t="shared" si="10"/>
        <v>-2.9312877957098169E-3</v>
      </c>
      <c r="Y56" s="3">
        <f t="shared" si="11"/>
        <v>4.6019136903363662E-3</v>
      </c>
      <c r="Z56" s="3">
        <f t="shared" si="12"/>
        <v>1.6706258946265491E-3</v>
      </c>
      <c r="AA56" s="19">
        <f t="shared" si="13"/>
        <v>2.7820785923701867E-3</v>
      </c>
      <c r="AB56" s="3"/>
      <c r="AC56" s="5">
        <f t="shared" si="14"/>
        <v>-5050085.3440077007</v>
      </c>
      <c r="AD56" s="5">
        <f t="shared" si="15"/>
        <v>7928275.3866644651</v>
      </c>
      <c r="AE56" s="5">
        <f t="shared" si="16"/>
        <v>2878190.0426567639</v>
      </c>
      <c r="AF56" s="5"/>
      <c r="AG56" s="15">
        <f t="shared" si="17"/>
        <v>28</v>
      </c>
      <c r="AH56" s="4">
        <f t="shared" si="29"/>
        <v>0.48660403280531223</v>
      </c>
      <c r="AI56" s="5">
        <f t="shared" si="18"/>
        <v>14</v>
      </c>
      <c r="AK56" s="5">
        <f t="shared" si="19"/>
        <v>179442.44450115121</v>
      </c>
      <c r="AL56" s="5">
        <f t="shared" si="20"/>
        <v>647.83265115665768</v>
      </c>
      <c r="AM56" s="5">
        <f t="shared" si="30"/>
        <v>-2503124.5658999234</v>
      </c>
    </row>
    <row r="57" spans="1:39" x14ac:dyDescent="0.2">
      <c r="A57">
        <f t="shared" si="21"/>
        <v>35</v>
      </c>
      <c r="B57" s="4">
        <f t="shared" si="2"/>
        <v>0.02</v>
      </c>
      <c r="C57" s="4">
        <f t="shared" si="22"/>
        <v>0.13</v>
      </c>
      <c r="D57" s="4">
        <f t="shared" si="23"/>
        <v>0.49658530379140947</v>
      </c>
      <c r="E57" s="4">
        <f t="shared" si="3"/>
        <v>0.83945702076920736</v>
      </c>
      <c r="F57" s="3">
        <f t="shared" si="4"/>
        <v>2.3018410704022925</v>
      </c>
      <c r="G57" s="16">
        <f t="shared" si="24"/>
        <v>-0.92701624446874964</v>
      </c>
      <c r="H57" s="16">
        <f t="shared" si="25"/>
        <v>-1.6961066162716998</v>
      </c>
      <c r="I57" s="4">
        <f t="shared" si="5"/>
        <v>1.4999999999999999E-2</v>
      </c>
      <c r="J57" s="20">
        <f t="shared" si="6"/>
        <v>0.59155536436681511</v>
      </c>
      <c r="K57" s="4">
        <f t="shared" si="7"/>
        <v>-0.89177284557258485</v>
      </c>
      <c r="L57" s="4">
        <f t="shared" si="8"/>
        <v>1.3616664331163277</v>
      </c>
      <c r="M57" s="4">
        <f t="shared" si="26"/>
        <v>0.46989358754374289</v>
      </c>
      <c r="N57" s="4">
        <f t="shared" si="9"/>
        <v>1.9601191785149373E-2</v>
      </c>
      <c r="O57" s="4">
        <f t="shared" si="27"/>
        <v>3.2283963069539255E-2</v>
      </c>
      <c r="P57" s="4"/>
      <c r="Q57" s="3">
        <v>3.6200000000000003E-2</v>
      </c>
      <c r="R57" s="3">
        <v>2.3E-3</v>
      </c>
      <c r="S57" s="3">
        <v>0</v>
      </c>
      <c r="T57" s="3">
        <v>4.4000000000000003E-3</v>
      </c>
      <c r="U57" s="3">
        <f t="shared" si="28"/>
        <v>2.5000000000000001E-2</v>
      </c>
      <c r="V57" s="3">
        <f t="shared" si="1"/>
        <v>2.3E-3</v>
      </c>
      <c r="X57" s="3">
        <f t="shared" si="10"/>
        <v>-2.0510775448169451E-3</v>
      </c>
      <c r="Y57" s="3">
        <f t="shared" si="11"/>
        <v>3.131832796167554E-3</v>
      </c>
      <c r="Z57" s="3">
        <f t="shared" si="12"/>
        <v>1.0807552513506086E-3</v>
      </c>
      <c r="AA57" s="19">
        <f t="shared" si="13"/>
        <v>1.8269722775778052E-3</v>
      </c>
      <c r="AB57" s="3"/>
      <c r="AC57" s="5">
        <f t="shared" si="14"/>
        <v>-3533640.2872700919</v>
      </c>
      <c r="AD57" s="5">
        <f t="shared" si="15"/>
        <v>5395588.5624593003</v>
      </c>
      <c r="AE57" s="5">
        <f t="shared" si="16"/>
        <v>1861948.2751892074</v>
      </c>
      <c r="AF57" s="5"/>
      <c r="AG57" s="15">
        <f t="shared" si="17"/>
        <v>19</v>
      </c>
      <c r="AH57" s="4">
        <f t="shared" si="29"/>
        <v>0.48687428902712904</v>
      </c>
      <c r="AI57" s="5">
        <f t="shared" si="18"/>
        <v>9</v>
      </c>
      <c r="AK57" s="5">
        <f t="shared" si="19"/>
        <v>178547.4715754858</v>
      </c>
      <c r="AL57" s="5">
        <f t="shared" si="20"/>
        <v>564.92231461561948</v>
      </c>
      <c r="AM57" s="5">
        <f t="shared" si="30"/>
        <v>-1601842.9433478315</v>
      </c>
    </row>
    <row r="58" spans="1:39" x14ac:dyDescent="0.2">
      <c r="A58">
        <f t="shared" si="21"/>
        <v>36</v>
      </c>
      <c r="B58" s="4">
        <f t="shared" si="2"/>
        <v>0.02</v>
      </c>
      <c r="C58" s="4">
        <f t="shared" si="22"/>
        <v>0.13</v>
      </c>
      <c r="D58" s="4">
        <f t="shared" si="23"/>
        <v>0.48675225595997168</v>
      </c>
      <c r="E58" s="4">
        <f t="shared" si="3"/>
        <v>0.83527021141127211</v>
      </c>
      <c r="F58" s="3">
        <f t="shared" si="4"/>
        <v>2.4198589857651789</v>
      </c>
      <c r="G58" s="16">
        <f t="shared" si="24"/>
        <v>-0.97372983093057053</v>
      </c>
      <c r="H58" s="16">
        <f t="shared" si="25"/>
        <v>-1.7537298309305704</v>
      </c>
      <c r="I58" s="4">
        <f t="shared" si="5"/>
        <v>1.4999999999999999E-2</v>
      </c>
      <c r="J58" s="20">
        <f t="shared" si="6"/>
        <v>0.58274825237398964</v>
      </c>
      <c r="K58" s="4">
        <f t="shared" si="7"/>
        <v>-0.94773902162805468</v>
      </c>
      <c r="L58" s="4">
        <f t="shared" si="8"/>
        <v>1.4101685949461531</v>
      </c>
      <c r="M58" s="4">
        <f t="shared" si="26"/>
        <v>0.46242957331809842</v>
      </c>
      <c r="N58" s="4">
        <f t="shared" si="9"/>
        <v>1.9028603453967646E-2</v>
      </c>
      <c r="O58" s="4">
        <f t="shared" si="27"/>
        <v>3.2283963069539255E-2</v>
      </c>
      <c r="P58" s="4"/>
      <c r="Q58" s="3">
        <v>3.1E-2</v>
      </c>
      <c r="R58" s="3">
        <v>1.5E-3</v>
      </c>
      <c r="S58" s="3">
        <v>0</v>
      </c>
      <c r="T58" s="3">
        <v>2.8999999999999998E-3</v>
      </c>
      <c r="U58" s="3">
        <f t="shared" si="28"/>
        <v>2.5000000000000001E-2</v>
      </c>
      <c r="V58" s="3">
        <f t="shared" si="1"/>
        <v>1.5E-3</v>
      </c>
      <c r="X58" s="3">
        <f t="shared" si="10"/>
        <v>-1.4216085324420819E-3</v>
      </c>
      <c r="Y58" s="3">
        <f t="shared" si="11"/>
        <v>2.1152528924192299E-3</v>
      </c>
      <c r="Z58" s="3">
        <f t="shared" si="12"/>
        <v>6.9364435997714769E-4</v>
      </c>
      <c r="AA58" s="19">
        <f t="shared" si="13"/>
        <v>1.1902984816366097E-3</v>
      </c>
      <c r="AB58" s="3"/>
      <c r="AC58" s="5">
        <f t="shared" si="14"/>
        <v>-2449177.6021138132</v>
      </c>
      <c r="AD58" s="5">
        <f t="shared" si="15"/>
        <v>3644202.949471747</v>
      </c>
      <c r="AE58" s="5">
        <f t="shared" si="16"/>
        <v>1195025.3473579336</v>
      </c>
      <c r="AF58" s="5"/>
      <c r="AG58" s="15">
        <f t="shared" si="17"/>
        <v>12</v>
      </c>
      <c r="AH58" s="4">
        <f t="shared" si="29"/>
        <v>0.48653922524645804</v>
      </c>
      <c r="AI58" s="5">
        <f t="shared" si="18"/>
        <v>6</v>
      </c>
      <c r="AK58" s="5">
        <f t="shared" si="19"/>
        <v>177656.96234590912</v>
      </c>
      <c r="AL58" s="5">
        <f t="shared" si="20"/>
        <v>492.99349102503709</v>
      </c>
      <c r="AM58" s="5">
        <f t="shared" si="30"/>
        <v>-1062983.8131293044</v>
      </c>
    </row>
    <row r="59" spans="1:39" x14ac:dyDescent="0.2">
      <c r="A59">
        <f t="shared" si="21"/>
        <v>37</v>
      </c>
      <c r="B59" s="4">
        <f t="shared" si="2"/>
        <v>0.02</v>
      </c>
      <c r="C59" s="4">
        <f t="shared" si="22"/>
        <v>0.13</v>
      </c>
      <c r="D59" s="4">
        <f t="shared" si="23"/>
        <v>0.47711391552103438</v>
      </c>
      <c r="E59" s="4">
        <f t="shared" si="3"/>
        <v>0.83110428385212554</v>
      </c>
      <c r="F59" s="3">
        <f t="shared" si="4"/>
        <v>2.5439278090407331</v>
      </c>
      <c r="G59" s="16">
        <f t="shared" si="24"/>
        <v>-1.01934867221528</v>
      </c>
      <c r="H59" s="16">
        <f t="shared" si="25"/>
        <v>-1.8101078011540486</v>
      </c>
      <c r="I59" s="4">
        <f t="shared" si="5"/>
        <v>1.4999999999999999E-2</v>
      </c>
      <c r="J59" s="20">
        <f t="shared" si="6"/>
        <v>0.57407226119643606</v>
      </c>
      <c r="K59" s="4">
        <f t="shared" si="7"/>
        <v>-1.0054512331837091</v>
      </c>
      <c r="L59" s="4">
        <f t="shared" si="8"/>
        <v>1.4603983896565091</v>
      </c>
      <c r="M59" s="4">
        <f t="shared" si="26"/>
        <v>0.45494715647280004</v>
      </c>
      <c r="N59" s="4">
        <f t="shared" si="9"/>
        <v>1.8478830418324887E-2</v>
      </c>
      <c r="O59" s="4">
        <f t="shared" si="27"/>
        <v>3.2283963069539255E-2</v>
      </c>
      <c r="P59" s="4"/>
      <c r="Q59" s="3">
        <v>2.5999999999999999E-2</v>
      </c>
      <c r="R59" s="3">
        <v>8.9999999999999998E-4</v>
      </c>
      <c r="S59" s="3">
        <v>0</v>
      </c>
      <c r="T59" s="3">
        <v>1.8E-3</v>
      </c>
      <c r="U59" s="3">
        <f t="shared" si="28"/>
        <v>2.5000000000000001E-2</v>
      </c>
      <c r="V59" s="3">
        <f t="shared" si="1"/>
        <v>8.9999999999999998E-4</v>
      </c>
      <c r="X59" s="3">
        <f t="shared" si="10"/>
        <v>-9.0490610986533821E-4</v>
      </c>
      <c r="Y59" s="3">
        <f t="shared" si="11"/>
        <v>1.3143585506908582E-3</v>
      </c>
      <c r="Z59" s="3">
        <f t="shared" si="12"/>
        <v>4.0945244082552E-4</v>
      </c>
      <c r="AA59" s="19">
        <f t="shared" si="13"/>
        <v>7.132419879897551E-4</v>
      </c>
      <c r="AB59" s="3"/>
      <c r="AC59" s="5">
        <f t="shared" si="14"/>
        <v>-1558991.6110667558</v>
      </c>
      <c r="AD59" s="5">
        <f t="shared" si="15"/>
        <v>2264405.0384031953</v>
      </c>
      <c r="AE59" s="5">
        <f t="shared" si="16"/>
        <v>705413.42733643949</v>
      </c>
      <c r="AF59" s="5"/>
      <c r="AG59" s="15">
        <f t="shared" si="17"/>
        <v>7</v>
      </c>
      <c r="AH59" s="4">
        <f t="shared" si="29"/>
        <v>0.48565437927426736</v>
      </c>
      <c r="AI59" s="5">
        <f t="shared" si="18"/>
        <v>4</v>
      </c>
      <c r="AK59" s="5">
        <f t="shared" si="19"/>
        <v>176770.894549644</v>
      </c>
      <c r="AL59" s="5">
        <f t="shared" si="20"/>
        <v>430.5358710226858</v>
      </c>
      <c r="AM59" s="5">
        <f t="shared" si="30"/>
        <v>-705361.43471448531</v>
      </c>
    </row>
    <row r="60" spans="1:39" x14ac:dyDescent="0.2">
      <c r="A60">
        <f t="shared" si="21"/>
        <v>38</v>
      </c>
      <c r="B60" s="4">
        <f t="shared" si="2"/>
        <v>0.02</v>
      </c>
      <c r="C60" s="4">
        <f t="shared" si="22"/>
        <v>0.13</v>
      </c>
      <c r="D60" s="4">
        <f t="shared" si="23"/>
        <v>0.46766642700990924</v>
      </c>
      <c r="E60" s="4">
        <f t="shared" si="3"/>
        <v>0.82695913394336229</v>
      </c>
      <c r="F60" s="3">
        <f t="shared" si="4"/>
        <v>2.6743577769117084</v>
      </c>
      <c r="G60" s="16">
        <f t="shared" si="24"/>
        <v>-1.0639345164971843</v>
      </c>
      <c r="H60" s="16">
        <f t="shared" si="25"/>
        <v>-1.8653083368831513</v>
      </c>
      <c r="I60" s="4">
        <f t="shared" si="5"/>
        <v>1.4999999999999999E-2</v>
      </c>
      <c r="J60" s="20">
        <f t="shared" si="6"/>
        <v>0.56552543869953709</v>
      </c>
      <c r="K60" s="4">
        <f t="shared" si="7"/>
        <v>-1.0649554140406927</v>
      </c>
      <c r="L60" s="4">
        <f t="shared" si="8"/>
        <v>1.5124173550275126</v>
      </c>
      <c r="M60" s="4">
        <f t="shared" si="26"/>
        <v>0.44746194098681991</v>
      </c>
      <c r="N60" s="4">
        <f t="shared" si="9"/>
        <v>1.7950708918841846E-2</v>
      </c>
      <c r="O60" s="4">
        <f t="shared" si="27"/>
        <v>3.2283963069539255E-2</v>
      </c>
      <c r="P60" s="4"/>
      <c r="Q60" s="3">
        <v>2.1399999999999999E-2</v>
      </c>
      <c r="R60" s="3">
        <v>5.9999999999999995E-4</v>
      </c>
      <c r="S60" s="3">
        <v>0</v>
      </c>
      <c r="T60" s="3">
        <v>1.1000000000000001E-3</v>
      </c>
      <c r="U60" s="3">
        <f t="shared" si="28"/>
        <v>2.5000000000000001E-2</v>
      </c>
      <c r="V60" s="3">
        <f t="shared" si="1"/>
        <v>5.9999999999999995E-4</v>
      </c>
      <c r="X60" s="3">
        <f t="shared" si="10"/>
        <v>-6.3897324842441562E-4</v>
      </c>
      <c r="Y60" s="3">
        <f t="shared" si="11"/>
        <v>9.0745041301650746E-4</v>
      </c>
      <c r="Z60" s="3">
        <f t="shared" si="12"/>
        <v>2.6847716459209189E-4</v>
      </c>
      <c r="AA60" s="19">
        <f t="shared" si="13"/>
        <v>4.7473932421054796E-4</v>
      </c>
      <c r="AB60" s="3"/>
      <c r="AC60" s="5">
        <f t="shared" si="14"/>
        <v>-1100836.7864130996</v>
      </c>
      <c r="AD60" s="5">
        <f t="shared" si="15"/>
        <v>1563374.9909836776</v>
      </c>
      <c r="AE60" s="5">
        <f t="shared" si="16"/>
        <v>462538.20457057818</v>
      </c>
      <c r="AF60" s="5"/>
      <c r="AG60" s="15">
        <f t="shared" si="17"/>
        <v>5</v>
      </c>
      <c r="AH60" s="4">
        <f t="shared" si="29"/>
        <v>0.48427120589659278</v>
      </c>
      <c r="AI60" s="5">
        <f t="shared" si="18"/>
        <v>2</v>
      </c>
      <c r="AK60" s="5">
        <f t="shared" si="19"/>
        <v>175889.24603494949</v>
      </c>
      <c r="AL60" s="5">
        <f t="shared" si="20"/>
        <v>376.25561035491705</v>
      </c>
      <c r="AM60" s="5">
        <f t="shared" si="30"/>
        <v>-351025.98084918916</v>
      </c>
    </row>
    <row r="61" spans="1:39" x14ac:dyDescent="0.2">
      <c r="A61">
        <f t="shared" si="21"/>
        <v>39</v>
      </c>
      <c r="B61" s="4">
        <f t="shared" si="2"/>
        <v>0.02</v>
      </c>
      <c r="C61" s="4">
        <f t="shared" si="22"/>
        <v>0.13</v>
      </c>
      <c r="D61" s="4">
        <f t="shared" si="23"/>
        <v>0.45840601130522352</v>
      </c>
      <c r="E61" s="4">
        <f t="shared" si="3"/>
        <v>0.8228346580560183</v>
      </c>
      <c r="F61" s="3">
        <f t="shared" si="4"/>
        <v>2.8114750322357178</v>
      </c>
      <c r="G61" s="16">
        <f t="shared" si="24"/>
        <v>-1.1075439506286535</v>
      </c>
      <c r="H61" s="16">
        <f t="shared" si="25"/>
        <v>-1.9193936904204452</v>
      </c>
      <c r="I61" s="4">
        <f t="shared" si="5"/>
        <v>1.4999999999999999E-2</v>
      </c>
      <c r="J61" s="20">
        <f t="shared" si="6"/>
        <v>0.55710586181217392</v>
      </c>
      <c r="K61" s="4">
        <f t="shared" si="7"/>
        <v>-1.1263014167933521</v>
      </c>
      <c r="L61" s="4">
        <f t="shared" si="8"/>
        <v>1.5662892207970891</v>
      </c>
      <c r="M61" s="4">
        <f t="shared" si="26"/>
        <v>0.43998780400373705</v>
      </c>
      <c r="N61" s="4">
        <f t="shared" si="9"/>
        <v>1.7443140031970363E-2</v>
      </c>
      <c r="O61" s="4">
        <f t="shared" si="27"/>
        <v>3.2283963069539255E-2</v>
      </c>
      <c r="P61" s="4"/>
      <c r="Q61" s="3">
        <v>1.7000000000000001E-2</v>
      </c>
      <c r="R61" s="3">
        <v>2.9999999999999997E-4</v>
      </c>
      <c r="S61" s="3">
        <v>0</v>
      </c>
      <c r="T61" s="3">
        <v>5.9999999999999995E-4</v>
      </c>
      <c r="U61" s="3">
        <f t="shared" si="28"/>
        <v>2.5000000000000001E-2</v>
      </c>
      <c r="V61" s="3">
        <f t="shared" si="1"/>
        <v>2.9999999999999997E-4</v>
      </c>
      <c r="X61" s="3">
        <f t="shared" si="10"/>
        <v>-3.3789042503800558E-4</v>
      </c>
      <c r="Y61" s="3">
        <f t="shared" si="11"/>
        <v>4.6988676623912671E-4</v>
      </c>
      <c r="Z61" s="3">
        <f t="shared" si="12"/>
        <v>1.319963412011211E-4</v>
      </c>
      <c r="AA61" s="19">
        <f t="shared" si="13"/>
        <v>2.3693224259346089E-4</v>
      </c>
      <c r="AB61" s="3"/>
      <c r="AC61" s="5">
        <f t="shared" si="14"/>
        <v>-582124.85511057184</v>
      </c>
      <c r="AD61" s="5">
        <f t="shared" si="15"/>
        <v>809530.97645356506</v>
      </c>
      <c r="AE61" s="5">
        <f t="shared" si="16"/>
        <v>227406.12134299314</v>
      </c>
      <c r="AF61" s="5"/>
      <c r="AG61" s="15">
        <f t="shared" si="17"/>
        <v>2</v>
      </c>
      <c r="AH61" s="4">
        <f t="shared" si="29"/>
        <v>0.48243729152732917</v>
      </c>
      <c r="AI61" s="5">
        <f t="shared" si="18"/>
        <v>1</v>
      </c>
      <c r="AK61" s="5">
        <f t="shared" si="19"/>
        <v>175011.99476056677</v>
      </c>
      <c r="AL61" s="5">
        <f t="shared" si="20"/>
        <v>329.04287437684081</v>
      </c>
      <c r="AM61" s="5">
        <f t="shared" si="30"/>
        <v>-174682.95188618993</v>
      </c>
    </row>
    <row r="62" spans="1:39" x14ac:dyDescent="0.2">
      <c r="A62">
        <f t="shared" si="21"/>
        <v>40</v>
      </c>
      <c r="B62" s="4">
        <f t="shared" si="2"/>
        <v>0.02</v>
      </c>
      <c r="C62" s="4">
        <f t="shared" si="22"/>
        <v>0.13</v>
      </c>
      <c r="D62" s="4">
        <f t="shared" si="23"/>
        <v>0.44932896411722156</v>
      </c>
      <c r="E62" s="4">
        <f t="shared" si="3"/>
        <v>0.81873075307798182</v>
      </c>
      <c r="F62" s="3">
        <f t="shared" si="4"/>
        <v>2.9556224395722603</v>
      </c>
      <c r="G62" s="16">
        <f t="shared" si="24"/>
        <v>-1.1502289583109797</v>
      </c>
      <c r="H62" s="16">
        <f t="shared" si="25"/>
        <v>-1.9724211499547584</v>
      </c>
      <c r="I62" s="4">
        <f t="shared" si="5"/>
        <v>1.4999999999999999E-2</v>
      </c>
      <c r="J62" s="20">
        <f t="shared" si="6"/>
        <v>0.54881163609402639</v>
      </c>
      <c r="K62" s="4">
        <f t="shared" si="7"/>
        <v>-1.1895429237601809</v>
      </c>
      <c r="L62" s="4">
        <f t="shared" si="8"/>
        <v>1.6220799867378699</v>
      </c>
      <c r="M62" s="4">
        <f t="shared" si="26"/>
        <v>0.43253706297768901</v>
      </c>
      <c r="N62" s="4">
        <f t="shared" si="9"/>
        <v>1.6955086758461722E-2</v>
      </c>
      <c r="O62" s="4">
        <f t="shared" si="27"/>
        <v>3.2283963069539255E-2</v>
      </c>
      <c r="P62" s="4"/>
      <c r="Q62" s="3">
        <v>4.4999999999999998E-2</v>
      </c>
      <c r="R62" s="3">
        <v>4.0000000000000002E-4</v>
      </c>
      <c r="S62" s="3">
        <v>0</v>
      </c>
      <c r="T62" s="3">
        <v>2.9999999999999997E-4</v>
      </c>
      <c r="U62" s="3">
        <f t="shared" si="28"/>
        <v>2.5000000000000001E-2</v>
      </c>
      <c r="V62" s="3">
        <f t="shared" si="1"/>
        <v>4.0000000000000002E-4</v>
      </c>
      <c r="X62" s="3">
        <f t="shared" si="10"/>
        <v>-4.7581716950407236E-4</v>
      </c>
      <c r="Y62" s="3">
        <f t="shared" si="11"/>
        <v>6.4883199469514797E-4</v>
      </c>
      <c r="Z62" s="3">
        <f t="shared" si="12"/>
        <v>1.7301482519107561E-4</v>
      </c>
      <c r="AA62" s="19">
        <f t="shared" si="13"/>
        <v>3.1525356572693631E-4</v>
      </c>
      <c r="AB62" s="3"/>
      <c r="AC62" s="5">
        <f t="shared" si="14"/>
        <v>-819748.0021090433</v>
      </c>
      <c r="AD62" s="5">
        <f t="shared" si="15"/>
        <v>1117821.6454654874</v>
      </c>
      <c r="AE62" s="5">
        <f t="shared" si="16"/>
        <v>298073.64335644414</v>
      </c>
      <c r="AF62" s="5"/>
      <c r="AG62" s="15">
        <f t="shared" si="17"/>
        <v>3</v>
      </c>
      <c r="AH62" s="4">
        <f t="shared" si="29"/>
        <v>0.48019657597971283</v>
      </c>
      <c r="AI62" s="5">
        <f t="shared" si="18"/>
        <v>2</v>
      </c>
      <c r="AK62" s="5">
        <f t="shared" si="19"/>
        <v>174139.11879516827</v>
      </c>
      <c r="AL62" s="5">
        <f t="shared" si="20"/>
        <v>287.94449302082273</v>
      </c>
      <c r="AM62" s="5">
        <f t="shared" si="30"/>
        <v>-347702.34860429488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A1:A27"/>
  <sheetViews>
    <sheetView workbookViewId="0">
      <selection activeCell="A4" sqref="A4"/>
    </sheetView>
  </sheetViews>
  <sheetFormatPr baseColWidth="10" defaultColWidth="8.83203125" defaultRowHeight="15" x14ac:dyDescent="0.2"/>
  <sheetData>
    <row r="1" spans="1:1" x14ac:dyDescent="0.2">
      <c r="A1" s="11" t="s">
        <v>35</v>
      </c>
    </row>
    <row r="2" spans="1:1" x14ac:dyDescent="0.2">
      <c r="A2" s="11" t="s">
        <v>36</v>
      </c>
    </row>
    <row r="4" spans="1:1" ht="16" x14ac:dyDescent="0.2">
      <c r="A4" s="9" t="s">
        <v>21</v>
      </c>
    </row>
    <row r="5" spans="1:1" ht="16" x14ac:dyDescent="0.2">
      <c r="A5" s="9" t="s">
        <v>37</v>
      </c>
    </row>
    <row r="6" spans="1:1" ht="16" x14ac:dyDescent="0.2">
      <c r="A6" s="10" t="s">
        <v>38</v>
      </c>
    </row>
    <row r="7" spans="1:1" ht="16" x14ac:dyDescent="0.2">
      <c r="A7" s="9" t="s">
        <v>39</v>
      </c>
    </row>
    <row r="8" spans="1:1" ht="16" x14ac:dyDescent="0.2">
      <c r="A8" s="10" t="s">
        <v>40</v>
      </c>
    </row>
    <row r="9" spans="1:1" ht="16" x14ac:dyDescent="0.2">
      <c r="A9" s="10" t="s">
        <v>41</v>
      </c>
    </row>
    <row r="10" spans="1:1" ht="16" x14ac:dyDescent="0.2">
      <c r="A10" s="9" t="s">
        <v>22</v>
      </c>
    </row>
    <row r="11" spans="1:1" ht="16" x14ac:dyDescent="0.2">
      <c r="A11" s="9" t="s">
        <v>23</v>
      </c>
    </row>
    <row r="12" spans="1:1" ht="16" x14ac:dyDescent="0.2">
      <c r="A12" s="9" t="s">
        <v>24</v>
      </c>
    </row>
    <row r="13" spans="1:1" ht="16" x14ac:dyDescent="0.2">
      <c r="A13" s="9" t="s">
        <v>25</v>
      </c>
    </row>
    <row r="14" spans="1:1" ht="16" x14ac:dyDescent="0.2">
      <c r="A14" s="9" t="s">
        <v>26</v>
      </c>
    </row>
    <row r="15" spans="1:1" ht="16" x14ac:dyDescent="0.2">
      <c r="A15" s="9" t="s">
        <v>42</v>
      </c>
    </row>
    <row r="16" spans="1:1" ht="16" x14ac:dyDescent="0.2">
      <c r="A16" s="10" t="s">
        <v>43</v>
      </c>
    </row>
    <row r="17" spans="1:1" ht="16" x14ac:dyDescent="0.2">
      <c r="A17" s="10" t="s">
        <v>44</v>
      </c>
    </row>
    <row r="18" spans="1:1" ht="16" x14ac:dyDescent="0.2">
      <c r="A18" s="10" t="s">
        <v>45</v>
      </c>
    </row>
    <row r="19" spans="1:1" ht="16" x14ac:dyDescent="0.2">
      <c r="A19" s="9" t="s">
        <v>27</v>
      </c>
    </row>
    <row r="20" spans="1:1" ht="16" x14ac:dyDescent="0.2">
      <c r="A20" s="9" t="s">
        <v>28</v>
      </c>
    </row>
    <row r="21" spans="1:1" ht="16" x14ac:dyDescent="0.2">
      <c r="A21" s="10" t="s">
        <v>29</v>
      </c>
    </row>
    <row r="22" spans="1:1" ht="16" x14ac:dyDescent="0.2">
      <c r="A22" s="10" t="s">
        <v>30</v>
      </c>
    </row>
    <row r="23" spans="1:1" ht="16" x14ac:dyDescent="0.2">
      <c r="A23" s="9" t="s">
        <v>31</v>
      </c>
    </row>
    <row r="24" spans="1:1" ht="16" x14ac:dyDescent="0.2">
      <c r="A24" s="9" t="s">
        <v>32</v>
      </c>
    </row>
    <row r="25" spans="1:1" ht="16" x14ac:dyDescent="0.2">
      <c r="A25" s="10" t="s">
        <v>33</v>
      </c>
    </row>
    <row r="26" spans="1:1" ht="16" x14ac:dyDescent="0.2">
      <c r="A26" s="10" t="s">
        <v>34</v>
      </c>
    </row>
    <row r="27" spans="1:1" ht="16" x14ac:dyDescent="0.2">
      <c r="A27" s="10"/>
    </row>
  </sheetData>
  <hyperlinks>
    <hyperlink ref="A1" r:id="rId1" xr:uid="{00000000-0004-0000-0300-000000000000}"/>
    <hyperlink ref="A2" r:id="rId2" xr:uid="{00000000-0004-0000-0300-00000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16</vt:i4>
      </vt:variant>
    </vt:vector>
  </HeadingPairs>
  <TitlesOfParts>
    <vt:vector size="20" baseType="lpstr">
      <vt:lpstr>ERM value</vt:lpstr>
      <vt:lpstr>Explanation</vt:lpstr>
      <vt:lpstr>Chart</vt:lpstr>
      <vt:lpstr>Chart2</vt:lpstr>
      <vt:lpstr>Average_value</vt:lpstr>
      <vt:lpstr>Debt_value</vt:lpstr>
      <vt:lpstr>dilap</vt:lpstr>
      <vt:lpstr>Face</vt:lpstr>
      <vt:lpstr>H</vt:lpstr>
      <vt:lpstr>Hstress</vt:lpstr>
      <vt:lpstr>IRRx</vt:lpstr>
      <vt:lpstr>L</vt:lpstr>
      <vt:lpstr>LTV</vt:lpstr>
      <vt:lpstr>MA</vt:lpstr>
      <vt:lpstr>Properties</vt:lpstr>
      <vt:lpstr>q</vt:lpstr>
      <vt:lpstr>'ERM value'!r_</vt:lpstr>
      <vt:lpstr>Stress</vt:lpstr>
      <vt:lpstr>'ERM value'!V</vt:lpstr>
      <vt:lpstr>xs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dc:creator>
  <cp:lastModifiedBy>Kevin Dowd</cp:lastModifiedBy>
  <dcterms:created xsi:type="dcterms:W3CDTF">2017-06-08T18:06:48Z</dcterms:created>
  <dcterms:modified xsi:type="dcterms:W3CDTF">2019-06-13T22:43:35Z</dcterms:modified>
</cp:coreProperties>
</file>